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370" windowHeight="3975" activeTab="1"/>
  </bookViews>
  <sheets>
    <sheet name="Logistic curve" sheetId="1" r:id="rId1"/>
    <sheet name="Richard curve" sheetId="2" r:id="rId2"/>
    <sheet name="Encouter probability model" sheetId="3" r:id="rId3"/>
  </sheets>
  <definedNames>
    <definedName name="_Fill" localSheetId="2" hidden="1">'Encouter probability model'!$A$18:$A$36</definedName>
    <definedName name="_Fill" localSheetId="1" hidden="1">'Richard curve'!$A$18:$A$36</definedName>
    <definedName name="_Fill" hidden="1">'Logistic curve'!$A$18:$A$36</definedName>
    <definedName name="_xlnm.Print_Area" localSheetId="2">'Encouter probability model'!$A$1:$K$36</definedName>
    <definedName name="_xlnm.Print_Area" localSheetId="0">'Logistic curve'!$A$1:$K$36</definedName>
    <definedName name="_xlnm.Print_Area" localSheetId="1">'Richard curve'!$A$1:$K$36</definedName>
    <definedName name="solver_adj" localSheetId="2" hidden="1">'Encouter probability model'!$F$4:$F$6</definedName>
    <definedName name="solver_adj" localSheetId="0" hidden="1">'Logistic curve'!$F$4:$F$5</definedName>
    <definedName name="solver_adj" localSheetId="1" hidden="1">'Richard curve'!$F$4:$F$6</definedName>
    <definedName name="solver_cvg" localSheetId="2" hidden="1">0.001</definedName>
    <definedName name="solver_cvg" localSheetId="0" hidden="1">0.001</definedName>
    <definedName name="solver_cvg" localSheetId="1" hidden="1">0.001</definedName>
    <definedName name="solver_drv" localSheetId="2" hidden="1">0</definedName>
    <definedName name="solver_drv" localSheetId="0" hidden="1">0</definedName>
    <definedName name="solver_drv" localSheetId="1" hidden="1">0</definedName>
    <definedName name="solver_est" localSheetId="2" hidden="1">0</definedName>
    <definedName name="solver_est" localSheetId="0" hidden="1">0</definedName>
    <definedName name="solver_est" localSheetId="1" hidden="1">0</definedName>
    <definedName name="solver_itr" localSheetId="2" hidden="1">100</definedName>
    <definedName name="solver_itr" localSheetId="0" hidden="1">100</definedName>
    <definedName name="solver_itr" localSheetId="1" hidden="1">100</definedName>
    <definedName name="solver_lhs1" localSheetId="2" hidden="1">'Encouter probability model'!$F$4</definedName>
    <definedName name="solver_lhs1" localSheetId="0" hidden="1">'Logistic curve'!$F$4</definedName>
    <definedName name="solver_lhs1" localSheetId="1" hidden="1">'Richard curve'!$F$4</definedName>
    <definedName name="solver_lhs2" localSheetId="2" hidden="1">'Encouter probability model'!$F$6</definedName>
    <definedName name="solver_lhs2" localSheetId="1" hidden="1">'Richard curve'!$F$6</definedName>
    <definedName name="solver_lhs3" localSheetId="2" hidden="1">'Encouter probability model'!$F$6</definedName>
    <definedName name="solver_lin" localSheetId="2" hidden="1">2</definedName>
    <definedName name="solver_lin" localSheetId="0" hidden="1">2</definedName>
    <definedName name="solver_lin" localSheetId="1" hidden="1">2</definedName>
    <definedName name="solver_neg" localSheetId="2" hidden="1">2</definedName>
    <definedName name="solver_neg" localSheetId="0" hidden="1">2</definedName>
    <definedName name="solver_neg" localSheetId="1" hidden="1">2</definedName>
    <definedName name="solver_num" localSheetId="2" hidden="1">3</definedName>
    <definedName name="solver_num" localSheetId="0" hidden="1">1</definedName>
    <definedName name="solver_num" localSheetId="1" hidden="1">1</definedName>
    <definedName name="solver_nwt" localSheetId="2" hidden="1">0</definedName>
    <definedName name="solver_nwt" localSheetId="0" hidden="1">0</definedName>
    <definedName name="solver_nwt" localSheetId="1" hidden="1">0</definedName>
    <definedName name="solver_opt" localSheetId="2" hidden="1">'Encouter probability model'!$H$8</definedName>
    <definedName name="solver_opt" localSheetId="0" hidden="1">'Logistic curve'!$H$8</definedName>
    <definedName name="solver_opt" localSheetId="1" hidden="1">'Richard curve'!$H$8</definedName>
    <definedName name="solver_pre" localSheetId="2" hidden="1">0.000001</definedName>
    <definedName name="solver_pre" localSheetId="0" hidden="1">0.000001</definedName>
    <definedName name="solver_pre" localSheetId="1" hidden="1">0.000001</definedName>
    <definedName name="solver_rel1" localSheetId="2" hidden="1">1</definedName>
    <definedName name="solver_rel1" localSheetId="0" hidden="1">1</definedName>
    <definedName name="solver_rel1" localSheetId="1" hidden="1">1</definedName>
    <definedName name="solver_rel2" localSheetId="2" hidden="1">1</definedName>
    <definedName name="solver_rel2" localSheetId="1" hidden="1">3</definedName>
    <definedName name="solver_rel3" localSheetId="2" hidden="1">3</definedName>
    <definedName name="solver_rhs1" localSheetId="2" hidden="1">0</definedName>
    <definedName name="solver_rhs1" localSheetId="0" hidden="1">0</definedName>
    <definedName name="solver_rhs1" localSheetId="1" hidden="1">0</definedName>
    <definedName name="solver_rhs2" localSheetId="2" hidden="1">1</definedName>
    <definedName name="solver_rhs2" localSheetId="1" hidden="1">0</definedName>
    <definedName name="solver_rhs3" localSheetId="2" hidden="1">0</definedName>
    <definedName name="solver_scl" localSheetId="2" hidden="1">2</definedName>
    <definedName name="solver_scl" localSheetId="0" hidden="1">2</definedName>
    <definedName name="solver_scl" localSheetId="1" hidden="1">2</definedName>
    <definedName name="solver_sho" localSheetId="2" hidden="1">2</definedName>
    <definedName name="solver_sho" localSheetId="0" hidden="1">2</definedName>
    <definedName name="solver_sho" localSheetId="1" hidden="1">2</definedName>
    <definedName name="solver_tim" localSheetId="2" hidden="1">100</definedName>
    <definedName name="solver_tim" localSheetId="0" hidden="1">100</definedName>
    <definedName name="solver_tim" localSheetId="1" hidden="1">100</definedName>
    <definedName name="solver_tmp" localSheetId="2" hidden="1">'Encouter probability model'!$B$18:$C$36,'Encouter probability model'!$A$18:$A$19,'Encouter probability model'!$F$4:$F$5</definedName>
    <definedName name="solver_tmp" localSheetId="0" hidden="1">'Logistic curve'!$B$18:$C$36,'Logistic curve'!$A$18:$A$19,'Logistic curve'!$F$4:$F$5</definedName>
    <definedName name="solver_tmp" localSheetId="1" hidden="1">'Richard curve'!$B$18:$C$36,'Richard curve'!$A$18:$A$19,'Richard curve'!$F$4:$F$5</definedName>
    <definedName name="solver_tol" localSheetId="2" hidden="1">0.05</definedName>
    <definedName name="solver_tol" localSheetId="0" hidden="1">0.05</definedName>
    <definedName name="solver_tol" localSheetId="1" hidden="1">0.05</definedName>
    <definedName name="solver_typ" localSheetId="2" hidden="1">1</definedName>
    <definedName name="solver_typ" localSheetId="0" hidden="1">1</definedName>
    <definedName name="solver_typ" localSheetId="1" hidden="1">1</definedName>
    <definedName name="solver_val" localSheetId="2" hidden="1">0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<sst xmlns="http://schemas.openxmlformats.org/spreadsheetml/2006/main" count="87" uniqueCount="34">
  <si>
    <t>Maximum log-likelihood estimates of logistic parameters with Solver on MS-EXCEL</t>
  </si>
  <si>
    <t>Logistic equation r(l)=exp(a + bl) / [1+exp(a + bl)]</t>
  </si>
  <si>
    <t>Parameters</t>
  </si>
  <si>
    <t>Initial value</t>
  </si>
  <si>
    <t>Parameters estimated by eye</t>
  </si>
  <si>
    <t>a =</t>
  </si>
  <si>
    <t>L50% =</t>
  </si>
  <si>
    <t>b =</t>
  </si>
  <si>
    <t>S.R. =</t>
  </si>
  <si>
    <t xml:space="preserve">Akaike's Information Criterion </t>
  </si>
  <si>
    <t>Sum of log-likelihood</t>
  </si>
  <si>
    <t>Value of AIC</t>
  </si>
  <si>
    <t>S.P. =</t>
  </si>
  <si>
    <t>Catch number of</t>
  </si>
  <si>
    <t>Propotion</t>
  </si>
  <si>
    <t>Selectivity</t>
  </si>
  <si>
    <t>Likelihood</t>
  </si>
  <si>
    <t>log(likelihood)</t>
  </si>
  <si>
    <t>Length(cm)</t>
  </si>
  <si>
    <t>Codend</t>
  </si>
  <si>
    <t>Cover</t>
  </si>
  <si>
    <t>Total</t>
  </si>
  <si>
    <t>retained in codend</t>
  </si>
  <si>
    <t xml:space="preserve">from logistic </t>
  </si>
  <si>
    <t>of each length class</t>
  </si>
  <si>
    <t>Catch data for haddock in 60 min. coverd codend hauls with 113 mm experimental mesh (see Table 6.5.2a in page 49 of ICENS manual)</t>
  </si>
  <si>
    <t>Data from Clark, J.R. 1957.  Effect of length of haul on codend escapement.  ICNAF/ICES/FAO workshop on selectivity, Lisbon. Paper S25.</t>
  </si>
  <si>
    <t>Maximum log-likelihood estimates of Richard curve parameters with Solver on MS-EXCEL</t>
  </si>
  <si>
    <r>
      <t>Richard curve equation r(l) = { exp(a + bl) / [1+exp(a + bl)] }</t>
    </r>
    <r>
      <rPr>
        <vertAlign val="superscript"/>
        <sz val="18"/>
        <rFont val="Times New Roman"/>
        <family val="1"/>
      </rPr>
      <t>1/</t>
    </r>
    <r>
      <rPr>
        <vertAlign val="superscript"/>
        <sz val="18"/>
        <rFont val="Symbol"/>
        <family val="1"/>
      </rPr>
      <t>d</t>
    </r>
  </si>
  <si>
    <r>
      <t xml:space="preserve"> </t>
    </r>
    <r>
      <rPr>
        <sz val="12"/>
        <rFont val="Symbol"/>
        <family val="1"/>
      </rPr>
      <t xml:space="preserve">d </t>
    </r>
    <r>
      <rPr>
        <sz val="12"/>
        <rFont val="Times New Roman"/>
        <family val="1"/>
      </rPr>
      <t>=</t>
    </r>
  </si>
  <si>
    <t>Maximum log-likelihood estimates of Encounter probability model parameters with Solver on MS-EXCEL</t>
  </si>
  <si>
    <r>
      <t xml:space="preserve">Encounter probability </t>
    </r>
    <r>
      <rPr>
        <b/>
        <sz val="16"/>
        <rFont val="Times New Roman"/>
        <family val="1"/>
      </rPr>
      <t>model  r(l) = p exp(a + bl) / [1+exp(a + bl)]  +1 - p</t>
    </r>
  </si>
  <si>
    <t xml:space="preserve">(See TOKAI et al.(1996) Fish. Res. 27, 51-60.) </t>
  </si>
  <si>
    <r>
      <t xml:space="preserve"> p</t>
    </r>
    <r>
      <rPr>
        <sz val="12"/>
        <rFont val="Symbol"/>
        <family val="1"/>
      </rPr>
      <t xml:space="preserve"> </t>
    </r>
    <r>
      <rPr>
        <sz val="12"/>
        <rFont val="Times New Roman"/>
        <family val="1"/>
      </rPr>
      <t>=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</si>
</sst>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E+00"/>
    <numFmt numFmtId="177" formatCode="0.00_);[Red]\(0.00\)"/>
    <numFmt numFmtId="178" formatCode="0.00_ "/>
    <numFmt numFmtId="179" formatCode="0.0000E+00"/>
    <numFmt numFmtId="180" formatCode="[&lt;=999]000;000\-00"/>
  </numFmts>
  <fonts count="13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2"/>
      <name val="Times New Roman"/>
      <family val="1"/>
    </font>
    <font>
      <sz val="6"/>
      <name val="ＭＳ Ｐ明朝"/>
      <family val="1"/>
    </font>
    <font>
      <b/>
      <sz val="16"/>
      <name val="Times New Roman"/>
      <family val="1"/>
    </font>
    <font>
      <sz val="12"/>
      <name val="Symbol"/>
      <family val="1"/>
    </font>
    <font>
      <vertAlign val="superscript"/>
      <sz val="18"/>
      <name val="Symbol"/>
      <family val="1"/>
    </font>
    <font>
      <vertAlign val="superscript"/>
      <sz val="18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" fontId="5" fillId="0" borderId="0">
      <alignment/>
      <protection/>
    </xf>
  </cellStyleXfs>
  <cellXfs count="2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78" fontId="6" fillId="0" borderId="1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7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0" fontId="6" fillId="0" borderId="2" xfId="0" applyNumberFormat="1" applyFont="1" applyBorder="1" applyAlignment="1">
      <alignment/>
    </xf>
    <xf numFmtId="0" fontId="6" fillId="0" borderId="3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3" xfId="0" applyFont="1" applyBorder="1" applyAlignment="1">
      <alignment/>
    </xf>
    <xf numFmtId="0" fontId="6" fillId="0" borderId="4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</cellXfs>
  <cellStyles count="2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  <cellStyle name="未定義_B" xfId="21"/>
    <cellStyle name="未定義_C" xfId="22"/>
    <cellStyle name="未定義_D" xfId="23"/>
    <cellStyle name="未定義_E" xfId="24"/>
    <cellStyle name="未定義_F" xfId="25"/>
    <cellStyle name="未定義_G" xfId="26"/>
    <cellStyle name="未定義_H" xfId="27"/>
    <cellStyle name="未定義_I" xfId="28"/>
    <cellStyle name="未定義_J" xfId="29"/>
    <cellStyle name="未定義_K" xfId="30"/>
    <cellStyle name="未定義_L" xfId="31"/>
    <cellStyle name="未定義_M" xfId="32"/>
    <cellStyle name="未定義_N" xfId="33"/>
    <cellStyle name="未定義_O" xfId="34"/>
    <cellStyle name="未定義_P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085"/>
          <c:w val="0.912"/>
          <c:h val="0.932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'Logistic curve'!$A$14:$A$51</c:f>
              <c:numCache>
                <c:ptCount val="38"/>
                <c:pt idx="0">
                  <c:v>18.5</c:v>
                </c:pt>
                <c:pt idx="1">
                  <c:v>19.5</c:v>
                </c:pt>
                <c:pt idx="2">
                  <c:v>20.5</c:v>
                </c:pt>
                <c:pt idx="3">
                  <c:v>21.5</c:v>
                </c:pt>
                <c:pt idx="4">
                  <c:v>22.5</c:v>
                </c:pt>
                <c:pt idx="5">
                  <c:v>23.5</c:v>
                </c:pt>
                <c:pt idx="6">
                  <c:v>24.5</c:v>
                </c:pt>
                <c:pt idx="7">
                  <c:v>25.5</c:v>
                </c:pt>
                <c:pt idx="8">
                  <c:v>26.5</c:v>
                </c:pt>
                <c:pt idx="9">
                  <c:v>27.5</c:v>
                </c:pt>
                <c:pt idx="10">
                  <c:v>28.5</c:v>
                </c:pt>
                <c:pt idx="11">
                  <c:v>29.5</c:v>
                </c:pt>
                <c:pt idx="12">
                  <c:v>30.5</c:v>
                </c:pt>
                <c:pt idx="13">
                  <c:v>31.5</c:v>
                </c:pt>
                <c:pt idx="14">
                  <c:v>32.5</c:v>
                </c:pt>
                <c:pt idx="15">
                  <c:v>33.5</c:v>
                </c:pt>
                <c:pt idx="16">
                  <c:v>34.5</c:v>
                </c:pt>
                <c:pt idx="17">
                  <c:v>35.5</c:v>
                </c:pt>
                <c:pt idx="18">
                  <c:v>36.5</c:v>
                </c:pt>
                <c:pt idx="19">
                  <c:v>37.5</c:v>
                </c:pt>
                <c:pt idx="20">
                  <c:v>38.5</c:v>
                </c:pt>
                <c:pt idx="21">
                  <c:v>39.5</c:v>
                </c:pt>
                <c:pt idx="22">
                  <c:v>40.5</c:v>
                </c:pt>
                <c:pt idx="23">
                  <c:v>41.5</c:v>
                </c:pt>
                <c:pt idx="24">
                  <c:v>42.5</c:v>
                </c:pt>
                <c:pt idx="25">
                  <c:v>43.5</c:v>
                </c:pt>
                <c:pt idx="26">
                  <c:v>44.5</c:v>
                </c:pt>
                <c:pt idx="27">
                  <c:v>45.5</c:v>
                </c:pt>
                <c:pt idx="28">
                  <c:v>46.5</c:v>
                </c:pt>
                <c:pt idx="29">
                  <c:v>47.5</c:v>
                </c:pt>
                <c:pt idx="30">
                  <c:v>48.5</c:v>
                </c:pt>
                <c:pt idx="31">
                  <c:v>49.5</c:v>
                </c:pt>
                <c:pt idx="32">
                  <c:v>50.5</c:v>
                </c:pt>
                <c:pt idx="33">
                  <c:v>51.5</c:v>
                </c:pt>
                <c:pt idx="34">
                  <c:v>52.5</c:v>
                </c:pt>
                <c:pt idx="35">
                  <c:v>53.5</c:v>
                </c:pt>
                <c:pt idx="36">
                  <c:v>54.5</c:v>
                </c:pt>
                <c:pt idx="37">
                  <c:v>55.5</c:v>
                </c:pt>
              </c:numCache>
            </c:numRef>
          </c:xVal>
          <c:yVal>
            <c:numRef>
              <c:f>'Logistic curve'!$B$14:$B$51</c:f>
              <c:numCache>
                <c:ptCount val="3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  <c:pt idx="5">
                  <c:v>13</c:v>
                </c:pt>
                <c:pt idx="6">
                  <c:v>10</c:v>
                </c:pt>
                <c:pt idx="7">
                  <c:v>14</c:v>
                </c:pt>
                <c:pt idx="8">
                  <c:v>7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5</c:v>
                </c:pt>
                <c:pt idx="15">
                  <c:v>2</c:v>
                </c:pt>
                <c:pt idx="16">
                  <c:v>16</c:v>
                </c:pt>
                <c:pt idx="17">
                  <c:v>18</c:v>
                </c:pt>
                <c:pt idx="18">
                  <c:v>23</c:v>
                </c:pt>
                <c:pt idx="19">
                  <c:v>36</c:v>
                </c:pt>
                <c:pt idx="20">
                  <c:v>57</c:v>
                </c:pt>
                <c:pt idx="21">
                  <c:v>46</c:v>
                </c:pt>
                <c:pt idx="22">
                  <c:v>55</c:v>
                </c:pt>
                <c:pt idx="23">
                  <c:v>42</c:v>
                </c:pt>
                <c:pt idx="24">
                  <c:v>26</c:v>
                </c:pt>
                <c:pt idx="25">
                  <c:v>18</c:v>
                </c:pt>
                <c:pt idx="26">
                  <c:v>22</c:v>
                </c:pt>
                <c:pt idx="27">
                  <c:v>6</c:v>
                </c:pt>
                <c:pt idx="28">
                  <c:v>6</c:v>
                </c:pt>
                <c:pt idx="29">
                  <c:v>8</c:v>
                </c:pt>
                <c:pt idx="30">
                  <c:v>3</c:v>
                </c:pt>
                <c:pt idx="31">
                  <c:v>0</c:v>
                </c:pt>
                <c:pt idx="32">
                  <c:v>8</c:v>
                </c:pt>
                <c:pt idx="33">
                  <c:v>4</c:v>
                </c:pt>
                <c:pt idx="34">
                  <c:v>3</c:v>
                </c:pt>
                <c:pt idx="35">
                  <c:v>0</c:v>
                </c:pt>
                <c:pt idx="36">
                  <c:v>2</c:v>
                </c:pt>
                <c:pt idx="37">
                  <c:v>13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'Logistic curve'!$A$14:$A$51</c:f>
              <c:numCache>
                <c:ptCount val="38"/>
                <c:pt idx="0">
                  <c:v>18.5</c:v>
                </c:pt>
                <c:pt idx="1">
                  <c:v>19.5</c:v>
                </c:pt>
                <c:pt idx="2">
                  <c:v>20.5</c:v>
                </c:pt>
                <c:pt idx="3">
                  <c:v>21.5</c:v>
                </c:pt>
                <c:pt idx="4">
                  <c:v>22.5</c:v>
                </c:pt>
                <c:pt idx="5">
                  <c:v>23.5</c:v>
                </c:pt>
                <c:pt idx="6">
                  <c:v>24.5</c:v>
                </c:pt>
                <c:pt idx="7">
                  <c:v>25.5</c:v>
                </c:pt>
                <c:pt idx="8">
                  <c:v>26.5</c:v>
                </c:pt>
                <c:pt idx="9">
                  <c:v>27.5</c:v>
                </c:pt>
                <c:pt idx="10">
                  <c:v>28.5</c:v>
                </c:pt>
                <c:pt idx="11">
                  <c:v>29.5</c:v>
                </c:pt>
                <c:pt idx="12">
                  <c:v>30.5</c:v>
                </c:pt>
                <c:pt idx="13">
                  <c:v>31.5</c:v>
                </c:pt>
                <c:pt idx="14">
                  <c:v>32.5</c:v>
                </c:pt>
                <c:pt idx="15">
                  <c:v>33.5</c:v>
                </c:pt>
                <c:pt idx="16">
                  <c:v>34.5</c:v>
                </c:pt>
                <c:pt idx="17">
                  <c:v>35.5</c:v>
                </c:pt>
                <c:pt idx="18">
                  <c:v>36.5</c:v>
                </c:pt>
                <c:pt idx="19">
                  <c:v>37.5</c:v>
                </c:pt>
                <c:pt idx="20">
                  <c:v>38.5</c:v>
                </c:pt>
                <c:pt idx="21">
                  <c:v>39.5</c:v>
                </c:pt>
                <c:pt idx="22">
                  <c:v>40.5</c:v>
                </c:pt>
                <c:pt idx="23">
                  <c:v>41.5</c:v>
                </c:pt>
                <c:pt idx="24">
                  <c:v>42.5</c:v>
                </c:pt>
                <c:pt idx="25">
                  <c:v>43.5</c:v>
                </c:pt>
                <c:pt idx="26">
                  <c:v>44.5</c:v>
                </c:pt>
                <c:pt idx="27">
                  <c:v>45.5</c:v>
                </c:pt>
                <c:pt idx="28">
                  <c:v>46.5</c:v>
                </c:pt>
                <c:pt idx="29">
                  <c:v>47.5</c:v>
                </c:pt>
                <c:pt idx="30">
                  <c:v>48.5</c:v>
                </c:pt>
                <c:pt idx="31">
                  <c:v>49.5</c:v>
                </c:pt>
                <c:pt idx="32">
                  <c:v>50.5</c:v>
                </c:pt>
                <c:pt idx="33">
                  <c:v>51.5</c:v>
                </c:pt>
                <c:pt idx="34">
                  <c:v>52.5</c:v>
                </c:pt>
                <c:pt idx="35">
                  <c:v>53.5</c:v>
                </c:pt>
                <c:pt idx="36">
                  <c:v>54.5</c:v>
                </c:pt>
                <c:pt idx="37">
                  <c:v>55.5</c:v>
                </c:pt>
              </c:numCache>
            </c:numRef>
          </c:xVal>
          <c:yVal>
            <c:numRef>
              <c:f>'Logistic curve'!$C$14:$C$51</c:f>
              <c:numCache>
                <c:ptCount val="38"/>
                <c:pt idx="0">
                  <c:v>0</c:v>
                </c:pt>
                <c:pt idx="1">
                  <c:v>4</c:v>
                </c:pt>
                <c:pt idx="2">
                  <c:v>25</c:v>
                </c:pt>
                <c:pt idx="3">
                  <c:v>69</c:v>
                </c:pt>
                <c:pt idx="4">
                  <c:v>151</c:v>
                </c:pt>
                <c:pt idx="5">
                  <c:v>190</c:v>
                </c:pt>
                <c:pt idx="6">
                  <c:v>192</c:v>
                </c:pt>
                <c:pt idx="7">
                  <c:v>146</c:v>
                </c:pt>
                <c:pt idx="8">
                  <c:v>102</c:v>
                </c:pt>
                <c:pt idx="9">
                  <c:v>62</c:v>
                </c:pt>
                <c:pt idx="10">
                  <c:v>24</c:v>
                </c:pt>
                <c:pt idx="11">
                  <c:v>4</c:v>
                </c:pt>
                <c:pt idx="12">
                  <c:v>8</c:v>
                </c:pt>
                <c:pt idx="13">
                  <c:v>12</c:v>
                </c:pt>
                <c:pt idx="14">
                  <c:v>19</c:v>
                </c:pt>
                <c:pt idx="15">
                  <c:v>16</c:v>
                </c:pt>
                <c:pt idx="16">
                  <c:v>27</c:v>
                </c:pt>
                <c:pt idx="17">
                  <c:v>31</c:v>
                </c:pt>
                <c:pt idx="18">
                  <c:v>37</c:v>
                </c:pt>
                <c:pt idx="19">
                  <c:v>32</c:v>
                </c:pt>
                <c:pt idx="20">
                  <c:v>34</c:v>
                </c:pt>
                <c:pt idx="21">
                  <c:v>24</c:v>
                </c:pt>
                <c:pt idx="22">
                  <c:v>17</c:v>
                </c:pt>
                <c:pt idx="23">
                  <c:v>8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yVal>
          <c:smooth val="0"/>
        </c:ser>
        <c:axId val="19196885"/>
        <c:axId val="38554238"/>
      </c:scatterChart>
      <c:valAx>
        <c:axId val="19196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Length (ｃm)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554238"/>
        <c:crosses val="autoZero"/>
        <c:crossBetween val="midCat"/>
        <c:dispUnits/>
      </c:valAx>
      <c:valAx>
        <c:axId val="38554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Individual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196885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0425"/>
          <c:w val="0.95625"/>
          <c:h val="0.925"/>
        </c:manualLayout>
      </c:layout>
      <c:scatterChart>
        <c:scatterStyle val="lineMarker"/>
        <c:varyColors val="0"/>
        <c:ser>
          <c:idx val="1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'Logistic curve'!$A$14:$A$51</c:f>
              <c:numCache/>
            </c:numRef>
          </c:xVal>
          <c:yVal>
            <c:numRef>
              <c:f>'Logistic curve'!$F$14:$F$51</c:f>
              <c:numCache/>
            </c:numRef>
          </c:yVal>
          <c:smooth val="1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'Logistic curve'!$A$14:$A$51</c:f>
              <c:numCache/>
            </c:numRef>
          </c:xVal>
          <c:yVal>
            <c:numRef>
              <c:f>'Logistic curve'!$E$14:$E$51</c:f>
              <c:numCache/>
            </c:numRef>
          </c:yVal>
          <c:smooth val="0"/>
        </c:ser>
        <c:axId val="11443823"/>
        <c:axId val="35885544"/>
      </c:scatterChart>
      <c:valAx>
        <c:axId val="11443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Length (ｃm)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5885544"/>
        <c:crosses val="autoZero"/>
        <c:crossBetween val="midCat"/>
        <c:dispUnits/>
      </c:valAx>
      <c:valAx>
        <c:axId val="35885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Selectivity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443823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.00775"/>
          <c:w val="0.91175"/>
          <c:h val="0.934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'Richard curve'!$A$14:$A$51</c:f>
              <c:numCache/>
            </c:numRef>
          </c:xVal>
          <c:yVal>
            <c:numRef>
              <c:f>'Richard curve'!$B$14:$B$51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'Richard curve'!$A$14:$A$51</c:f>
              <c:numCache/>
            </c:numRef>
          </c:xVal>
          <c:yVal>
            <c:numRef>
              <c:f>'Richard curve'!$C$14:$C$51</c:f>
              <c:numCache/>
            </c:numRef>
          </c:yVal>
          <c:smooth val="0"/>
        </c:ser>
        <c:axId val="54534441"/>
        <c:axId val="21047922"/>
      </c:scatterChart>
      <c:valAx>
        <c:axId val="54534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Length (ｃm)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047922"/>
        <c:crosses val="autoZero"/>
        <c:crossBetween val="midCat"/>
        <c:dispUnits/>
      </c:valAx>
      <c:valAx>
        <c:axId val="21047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Individual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534441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04"/>
          <c:w val="0.95625"/>
          <c:h val="0.9345"/>
        </c:manualLayout>
      </c:layout>
      <c:scatterChart>
        <c:scatterStyle val="lineMarker"/>
        <c:varyColors val="0"/>
        <c:ser>
          <c:idx val="1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'Richard curve'!$A$14:$A$51</c:f>
              <c:numCache/>
            </c:numRef>
          </c:xVal>
          <c:yVal>
            <c:numRef>
              <c:f>'Richard curve'!$F$14:$F$51</c:f>
              <c:numCache/>
            </c:numRef>
          </c:yVal>
          <c:smooth val="1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'Richard curve'!$A$14:$A$51</c:f>
              <c:numCache/>
            </c:numRef>
          </c:xVal>
          <c:yVal>
            <c:numRef>
              <c:f>'Richard curve'!$E$14:$E$51</c:f>
              <c:numCache/>
            </c:numRef>
          </c:yVal>
          <c:smooth val="0"/>
        </c:ser>
        <c:axId val="55213571"/>
        <c:axId val="27160092"/>
      </c:scatterChart>
      <c:valAx>
        <c:axId val="55213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Length (ｃm)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160092"/>
        <c:crosses val="autoZero"/>
        <c:crossBetween val="midCat"/>
        <c:dispUnits/>
      </c:valAx>
      <c:valAx>
        <c:axId val="27160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Selectivity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213571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.00825"/>
          <c:w val="0.91175"/>
          <c:h val="0.93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'Encouter probability model'!$A$14:$A$51</c:f>
              <c:numCache>
                <c:ptCount val="38"/>
                <c:pt idx="0">
                  <c:v>18.5</c:v>
                </c:pt>
                <c:pt idx="1">
                  <c:v>19.5</c:v>
                </c:pt>
                <c:pt idx="2">
                  <c:v>20.5</c:v>
                </c:pt>
                <c:pt idx="3">
                  <c:v>21.5</c:v>
                </c:pt>
                <c:pt idx="4">
                  <c:v>22.5</c:v>
                </c:pt>
                <c:pt idx="5">
                  <c:v>23.5</c:v>
                </c:pt>
                <c:pt idx="6">
                  <c:v>24.5</c:v>
                </c:pt>
                <c:pt idx="7">
                  <c:v>25.5</c:v>
                </c:pt>
                <c:pt idx="8">
                  <c:v>26.5</c:v>
                </c:pt>
                <c:pt idx="9">
                  <c:v>27.5</c:v>
                </c:pt>
                <c:pt idx="10">
                  <c:v>28.5</c:v>
                </c:pt>
                <c:pt idx="11">
                  <c:v>29.5</c:v>
                </c:pt>
                <c:pt idx="12">
                  <c:v>30.5</c:v>
                </c:pt>
                <c:pt idx="13">
                  <c:v>31.5</c:v>
                </c:pt>
                <c:pt idx="14">
                  <c:v>32.5</c:v>
                </c:pt>
                <c:pt idx="15">
                  <c:v>33.5</c:v>
                </c:pt>
                <c:pt idx="16">
                  <c:v>34.5</c:v>
                </c:pt>
                <c:pt idx="17">
                  <c:v>35.5</c:v>
                </c:pt>
                <c:pt idx="18">
                  <c:v>36.5</c:v>
                </c:pt>
                <c:pt idx="19">
                  <c:v>37.5</c:v>
                </c:pt>
                <c:pt idx="20">
                  <c:v>38.5</c:v>
                </c:pt>
                <c:pt idx="21">
                  <c:v>39.5</c:v>
                </c:pt>
                <c:pt idx="22">
                  <c:v>40.5</c:v>
                </c:pt>
                <c:pt idx="23">
                  <c:v>41.5</c:v>
                </c:pt>
                <c:pt idx="24">
                  <c:v>42.5</c:v>
                </c:pt>
                <c:pt idx="25">
                  <c:v>43.5</c:v>
                </c:pt>
                <c:pt idx="26">
                  <c:v>44.5</c:v>
                </c:pt>
                <c:pt idx="27">
                  <c:v>45.5</c:v>
                </c:pt>
                <c:pt idx="28">
                  <c:v>46.5</c:v>
                </c:pt>
                <c:pt idx="29">
                  <c:v>47.5</c:v>
                </c:pt>
                <c:pt idx="30">
                  <c:v>48.5</c:v>
                </c:pt>
                <c:pt idx="31">
                  <c:v>49.5</c:v>
                </c:pt>
                <c:pt idx="32">
                  <c:v>50.5</c:v>
                </c:pt>
                <c:pt idx="33">
                  <c:v>51.5</c:v>
                </c:pt>
                <c:pt idx="34">
                  <c:v>52.5</c:v>
                </c:pt>
                <c:pt idx="35">
                  <c:v>53.5</c:v>
                </c:pt>
                <c:pt idx="36">
                  <c:v>54.5</c:v>
                </c:pt>
                <c:pt idx="37">
                  <c:v>55.5</c:v>
                </c:pt>
              </c:numCache>
            </c:numRef>
          </c:xVal>
          <c:yVal>
            <c:numRef>
              <c:f>'Encouter probability model'!$B$14:$B$51</c:f>
              <c:numCache>
                <c:ptCount val="3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  <c:pt idx="5">
                  <c:v>13</c:v>
                </c:pt>
                <c:pt idx="6">
                  <c:v>10</c:v>
                </c:pt>
                <c:pt idx="7">
                  <c:v>14</c:v>
                </c:pt>
                <c:pt idx="8">
                  <c:v>7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5</c:v>
                </c:pt>
                <c:pt idx="15">
                  <c:v>2</c:v>
                </c:pt>
                <c:pt idx="16">
                  <c:v>16</c:v>
                </c:pt>
                <c:pt idx="17">
                  <c:v>18</c:v>
                </c:pt>
                <c:pt idx="18">
                  <c:v>23</c:v>
                </c:pt>
                <c:pt idx="19">
                  <c:v>36</c:v>
                </c:pt>
                <c:pt idx="20">
                  <c:v>57</c:v>
                </c:pt>
                <c:pt idx="21">
                  <c:v>46</c:v>
                </c:pt>
                <c:pt idx="22">
                  <c:v>55</c:v>
                </c:pt>
                <c:pt idx="23">
                  <c:v>42</c:v>
                </c:pt>
                <c:pt idx="24">
                  <c:v>26</c:v>
                </c:pt>
                <c:pt idx="25">
                  <c:v>18</c:v>
                </c:pt>
                <c:pt idx="26">
                  <c:v>22</c:v>
                </c:pt>
                <c:pt idx="27">
                  <c:v>6</c:v>
                </c:pt>
                <c:pt idx="28">
                  <c:v>6</c:v>
                </c:pt>
                <c:pt idx="29">
                  <c:v>8</c:v>
                </c:pt>
                <c:pt idx="30">
                  <c:v>3</c:v>
                </c:pt>
                <c:pt idx="31">
                  <c:v>0</c:v>
                </c:pt>
                <c:pt idx="32">
                  <c:v>8</c:v>
                </c:pt>
                <c:pt idx="33">
                  <c:v>4</c:v>
                </c:pt>
                <c:pt idx="34">
                  <c:v>3</c:v>
                </c:pt>
                <c:pt idx="35">
                  <c:v>0</c:v>
                </c:pt>
                <c:pt idx="36">
                  <c:v>2</c:v>
                </c:pt>
                <c:pt idx="37">
                  <c:v>13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'Encouter probability model'!$A$14:$A$51</c:f>
              <c:numCache>
                <c:ptCount val="38"/>
                <c:pt idx="0">
                  <c:v>18.5</c:v>
                </c:pt>
                <c:pt idx="1">
                  <c:v>19.5</c:v>
                </c:pt>
                <c:pt idx="2">
                  <c:v>20.5</c:v>
                </c:pt>
                <c:pt idx="3">
                  <c:v>21.5</c:v>
                </c:pt>
                <c:pt idx="4">
                  <c:v>22.5</c:v>
                </c:pt>
                <c:pt idx="5">
                  <c:v>23.5</c:v>
                </c:pt>
                <c:pt idx="6">
                  <c:v>24.5</c:v>
                </c:pt>
                <c:pt idx="7">
                  <c:v>25.5</c:v>
                </c:pt>
                <c:pt idx="8">
                  <c:v>26.5</c:v>
                </c:pt>
                <c:pt idx="9">
                  <c:v>27.5</c:v>
                </c:pt>
                <c:pt idx="10">
                  <c:v>28.5</c:v>
                </c:pt>
                <c:pt idx="11">
                  <c:v>29.5</c:v>
                </c:pt>
                <c:pt idx="12">
                  <c:v>30.5</c:v>
                </c:pt>
                <c:pt idx="13">
                  <c:v>31.5</c:v>
                </c:pt>
                <c:pt idx="14">
                  <c:v>32.5</c:v>
                </c:pt>
                <c:pt idx="15">
                  <c:v>33.5</c:v>
                </c:pt>
                <c:pt idx="16">
                  <c:v>34.5</c:v>
                </c:pt>
                <c:pt idx="17">
                  <c:v>35.5</c:v>
                </c:pt>
                <c:pt idx="18">
                  <c:v>36.5</c:v>
                </c:pt>
                <c:pt idx="19">
                  <c:v>37.5</c:v>
                </c:pt>
                <c:pt idx="20">
                  <c:v>38.5</c:v>
                </c:pt>
                <c:pt idx="21">
                  <c:v>39.5</c:v>
                </c:pt>
                <c:pt idx="22">
                  <c:v>40.5</c:v>
                </c:pt>
                <c:pt idx="23">
                  <c:v>41.5</c:v>
                </c:pt>
                <c:pt idx="24">
                  <c:v>42.5</c:v>
                </c:pt>
                <c:pt idx="25">
                  <c:v>43.5</c:v>
                </c:pt>
                <c:pt idx="26">
                  <c:v>44.5</c:v>
                </c:pt>
                <c:pt idx="27">
                  <c:v>45.5</c:v>
                </c:pt>
                <c:pt idx="28">
                  <c:v>46.5</c:v>
                </c:pt>
                <c:pt idx="29">
                  <c:v>47.5</c:v>
                </c:pt>
                <c:pt idx="30">
                  <c:v>48.5</c:v>
                </c:pt>
                <c:pt idx="31">
                  <c:v>49.5</c:v>
                </c:pt>
                <c:pt idx="32">
                  <c:v>50.5</c:v>
                </c:pt>
                <c:pt idx="33">
                  <c:v>51.5</c:v>
                </c:pt>
                <c:pt idx="34">
                  <c:v>52.5</c:v>
                </c:pt>
                <c:pt idx="35">
                  <c:v>53.5</c:v>
                </c:pt>
                <c:pt idx="36">
                  <c:v>54.5</c:v>
                </c:pt>
                <c:pt idx="37">
                  <c:v>55.5</c:v>
                </c:pt>
              </c:numCache>
            </c:numRef>
          </c:xVal>
          <c:yVal>
            <c:numRef>
              <c:f>'Encouter probability model'!$C$14:$C$51</c:f>
              <c:numCache>
                <c:ptCount val="38"/>
                <c:pt idx="0">
                  <c:v>0</c:v>
                </c:pt>
                <c:pt idx="1">
                  <c:v>4</c:v>
                </c:pt>
                <c:pt idx="2">
                  <c:v>25</c:v>
                </c:pt>
                <c:pt idx="3">
                  <c:v>69</c:v>
                </c:pt>
                <c:pt idx="4">
                  <c:v>151</c:v>
                </c:pt>
                <c:pt idx="5">
                  <c:v>190</c:v>
                </c:pt>
                <c:pt idx="6">
                  <c:v>192</c:v>
                </c:pt>
                <c:pt idx="7">
                  <c:v>146</c:v>
                </c:pt>
                <c:pt idx="8">
                  <c:v>102</c:v>
                </c:pt>
                <c:pt idx="9">
                  <c:v>62</c:v>
                </c:pt>
                <c:pt idx="10">
                  <c:v>24</c:v>
                </c:pt>
                <c:pt idx="11">
                  <c:v>4</c:v>
                </c:pt>
                <c:pt idx="12">
                  <c:v>8</c:v>
                </c:pt>
                <c:pt idx="13">
                  <c:v>12</c:v>
                </c:pt>
                <c:pt idx="14">
                  <c:v>19</c:v>
                </c:pt>
                <c:pt idx="15">
                  <c:v>16</c:v>
                </c:pt>
                <c:pt idx="16">
                  <c:v>27</c:v>
                </c:pt>
                <c:pt idx="17">
                  <c:v>31</c:v>
                </c:pt>
                <c:pt idx="18">
                  <c:v>37</c:v>
                </c:pt>
                <c:pt idx="19">
                  <c:v>32</c:v>
                </c:pt>
                <c:pt idx="20">
                  <c:v>34</c:v>
                </c:pt>
                <c:pt idx="21">
                  <c:v>24</c:v>
                </c:pt>
                <c:pt idx="22">
                  <c:v>17</c:v>
                </c:pt>
                <c:pt idx="23">
                  <c:v>8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yVal>
          <c:smooth val="0"/>
        </c:ser>
        <c:axId val="43114237"/>
        <c:axId val="52483814"/>
      </c:scatterChart>
      <c:valAx>
        <c:axId val="43114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Length (ｃm)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483814"/>
        <c:crosses val="autoZero"/>
        <c:crossBetween val="midCat"/>
        <c:dispUnits/>
      </c:valAx>
      <c:valAx>
        <c:axId val="52483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Individual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3114237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04"/>
          <c:w val="0.95625"/>
          <c:h val="0.9345"/>
        </c:manualLayout>
      </c:layout>
      <c:scatterChart>
        <c:scatterStyle val="lineMarker"/>
        <c:varyColors val="0"/>
        <c:ser>
          <c:idx val="1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'Encouter probability model'!$A$14:$A$51</c:f>
              <c:numCache>
                <c:ptCount val="38"/>
                <c:pt idx="0">
                  <c:v>18.5</c:v>
                </c:pt>
                <c:pt idx="1">
                  <c:v>19.5</c:v>
                </c:pt>
                <c:pt idx="2">
                  <c:v>20.5</c:v>
                </c:pt>
                <c:pt idx="3">
                  <c:v>21.5</c:v>
                </c:pt>
                <c:pt idx="4">
                  <c:v>22.5</c:v>
                </c:pt>
                <c:pt idx="5">
                  <c:v>23.5</c:v>
                </c:pt>
                <c:pt idx="6">
                  <c:v>24.5</c:v>
                </c:pt>
                <c:pt idx="7">
                  <c:v>25.5</c:v>
                </c:pt>
                <c:pt idx="8">
                  <c:v>26.5</c:v>
                </c:pt>
                <c:pt idx="9">
                  <c:v>27.5</c:v>
                </c:pt>
                <c:pt idx="10">
                  <c:v>28.5</c:v>
                </c:pt>
                <c:pt idx="11">
                  <c:v>29.5</c:v>
                </c:pt>
                <c:pt idx="12">
                  <c:v>30.5</c:v>
                </c:pt>
                <c:pt idx="13">
                  <c:v>31.5</c:v>
                </c:pt>
                <c:pt idx="14">
                  <c:v>32.5</c:v>
                </c:pt>
                <c:pt idx="15">
                  <c:v>33.5</c:v>
                </c:pt>
                <c:pt idx="16">
                  <c:v>34.5</c:v>
                </c:pt>
                <c:pt idx="17">
                  <c:v>35.5</c:v>
                </c:pt>
                <c:pt idx="18">
                  <c:v>36.5</c:v>
                </c:pt>
                <c:pt idx="19">
                  <c:v>37.5</c:v>
                </c:pt>
                <c:pt idx="20">
                  <c:v>38.5</c:v>
                </c:pt>
                <c:pt idx="21">
                  <c:v>39.5</c:v>
                </c:pt>
                <c:pt idx="22">
                  <c:v>40.5</c:v>
                </c:pt>
                <c:pt idx="23">
                  <c:v>41.5</c:v>
                </c:pt>
                <c:pt idx="24">
                  <c:v>42.5</c:v>
                </c:pt>
                <c:pt idx="25">
                  <c:v>43.5</c:v>
                </c:pt>
                <c:pt idx="26">
                  <c:v>44.5</c:v>
                </c:pt>
                <c:pt idx="27">
                  <c:v>45.5</c:v>
                </c:pt>
                <c:pt idx="28">
                  <c:v>46.5</c:v>
                </c:pt>
                <c:pt idx="29">
                  <c:v>47.5</c:v>
                </c:pt>
                <c:pt idx="30">
                  <c:v>48.5</c:v>
                </c:pt>
                <c:pt idx="31">
                  <c:v>49.5</c:v>
                </c:pt>
                <c:pt idx="32">
                  <c:v>50.5</c:v>
                </c:pt>
                <c:pt idx="33">
                  <c:v>51.5</c:v>
                </c:pt>
                <c:pt idx="34">
                  <c:v>52.5</c:v>
                </c:pt>
                <c:pt idx="35">
                  <c:v>53.5</c:v>
                </c:pt>
                <c:pt idx="36">
                  <c:v>54.5</c:v>
                </c:pt>
                <c:pt idx="37">
                  <c:v>55.5</c:v>
                </c:pt>
              </c:numCache>
            </c:numRef>
          </c:xVal>
          <c:yVal>
            <c:numRef>
              <c:f>'Encouter probability model'!$F$14:$F$51</c:f>
              <c:numCache>
                <c:ptCount val="38"/>
                <c:pt idx="0">
                  <c:v>0.05377068307740951</c:v>
                </c:pt>
                <c:pt idx="1">
                  <c:v>0.054004622846250405</c:v>
                </c:pt>
                <c:pt idx="2">
                  <c:v>0.054352885479184265</c:v>
                </c:pt>
                <c:pt idx="3">
                  <c:v>0.05487118283179926</c:v>
                </c:pt>
                <c:pt idx="4">
                  <c:v>0.05564218675365018</c:v>
                </c:pt>
                <c:pt idx="5">
                  <c:v>0.056788345732160184</c:v>
                </c:pt>
                <c:pt idx="6">
                  <c:v>0.05849051640004166</c:v>
                </c:pt>
                <c:pt idx="7">
                  <c:v>0.06101471111378032</c:v>
                </c:pt>
                <c:pt idx="8">
                  <c:v>0.06474975839246733</c:v>
                </c:pt>
                <c:pt idx="9">
                  <c:v>0.0702587175273014</c:v>
                </c:pt>
                <c:pt idx="10">
                  <c:v>0.0783455780617276</c:v>
                </c:pt>
                <c:pt idx="11">
                  <c:v>0.09013426055905682</c:v>
                </c:pt>
                <c:pt idx="12">
                  <c:v>0.10714596182440761</c:v>
                </c:pt>
                <c:pt idx="13">
                  <c:v>0.13133902540848752</c:v>
                </c:pt>
                <c:pt idx="14">
                  <c:v>0.1650402782405661</c:v>
                </c:pt>
                <c:pt idx="15">
                  <c:v>0.21065774930356784</c:v>
                </c:pt>
                <c:pt idx="16">
                  <c:v>0.2700625377152287</c:v>
                </c:pt>
                <c:pt idx="17">
                  <c:v>0.34364358401575</c:v>
                </c:pt>
                <c:pt idx="18">
                  <c:v>0.4293340297453655</c:v>
                </c:pt>
                <c:pt idx="19">
                  <c:v>0.522245185019972</c:v>
                </c:pt>
                <c:pt idx="20">
                  <c:v>0.6154967311769154</c:v>
                </c:pt>
                <c:pt idx="21">
                  <c:v>0.7021088541930306</c:v>
                </c:pt>
                <c:pt idx="22">
                  <c:v>0.7769513636296402</c:v>
                </c:pt>
                <c:pt idx="23">
                  <c:v>0.8376941835814037</c:v>
                </c:pt>
                <c:pt idx="24">
                  <c:v>0.8845343402753031</c:v>
                </c:pt>
                <c:pt idx="25">
                  <c:v>0.9192484059259304</c:v>
                </c:pt>
                <c:pt idx="26">
                  <c:v>0.9442261568553262</c:v>
                </c:pt>
                <c:pt idx="27">
                  <c:v>0.9618185456307208</c:v>
                </c:pt>
                <c:pt idx="28">
                  <c:v>0.974023668990183</c:v>
                </c:pt>
                <c:pt idx="29">
                  <c:v>0.982402857717057</c:v>
                </c:pt>
                <c:pt idx="30">
                  <c:v>0.9881140624345731</c:v>
                </c:pt>
                <c:pt idx="31">
                  <c:v>0.9919876634486694</c:v>
                </c:pt>
                <c:pt idx="32">
                  <c:v>0.9946061503196336</c:v>
                </c:pt>
                <c:pt idx="33">
                  <c:v>0.9963722048083187</c:v>
                </c:pt>
                <c:pt idx="34">
                  <c:v>0.9975615156041696</c:v>
                </c:pt>
                <c:pt idx="35">
                  <c:v>0.9983616084910311</c:v>
                </c:pt>
                <c:pt idx="36">
                  <c:v>0.9988994882760199</c:v>
                </c:pt>
                <c:pt idx="37">
                  <c:v>0.9992609215847384</c:v>
                </c:pt>
              </c:numCache>
            </c:numRef>
          </c:yVal>
          <c:smooth val="1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'Encouter probability model'!$A$14:$A$51</c:f>
              <c:numCache>
                <c:ptCount val="38"/>
                <c:pt idx="0">
                  <c:v>18.5</c:v>
                </c:pt>
                <c:pt idx="1">
                  <c:v>19.5</c:v>
                </c:pt>
                <c:pt idx="2">
                  <c:v>20.5</c:v>
                </c:pt>
                <c:pt idx="3">
                  <c:v>21.5</c:v>
                </c:pt>
                <c:pt idx="4">
                  <c:v>22.5</c:v>
                </c:pt>
                <c:pt idx="5">
                  <c:v>23.5</c:v>
                </c:pt>
                <c:pt idx="6">
                  <c:v>24.5</c:v>
                </c:pt>
                <c:pt idx="7">
                  <c:v>25.5</c:v>
                </c:pt>
                <c:pt idx="8">
                  <c:v>26.5</c:v>
                </c:pt>
                <c:pt idx="9">
                  <c:v>27.5</c:v>
                </c:pt>
                <c:pt idx="10">
                  <c:v>28.5</c:v>
                </c:pt>
                <c:pt idx="11">
                  <c:v>29.5</c:v>
                </c:pt>
                <c:pt idx="12">
                  <c:v>30.5</c:v>
                </c:pt>
                <c:pt idx="13">
                  <c:v>31.5</c:v>
                </c:pt>
                <c:pt idx="14">
                  <c:v>32.5</c:v>
                </c:pt>
                <c:pt idx="15">
                  <c:v>33.5</c:v>
                </c:pt>
                <c:pt idx="16">
                  <c:v>34.5</c:v>
                </c:pt>
                <c:pt idx="17">
                  <c:v>35.5</c:v>
                </c:pt>
                <c:pt idx="18">
                  <c:v>36.5</c:v>
                </c:pt>
                <c:pt idx="19">
                  <c:v>37.5</c:v>
                </c:pt>
                <c:pt idx="20">
                  <c:v>38.5</c:v>
                </c:pt>
                <c:pt idx="21">
                  <c:v>39.5</c:v>
                </c:pt>
                <c:pt idx="22">
                  <c:v>40.5</c:v>
                </c:pt>
                <c:pt idx="23">
                  <c:v>41.5</c:v>
                </c:pt>
                <c:pt idx="24">
                  <c:v>42.5</c:v>
                </c:pt>
                <c:pt idx="25">
                  <c:v>43.5</c:v>
                </c:pt>
                <c:pt idx="26">
                  <c:v>44.5</c:v>
                </c:pt>
                <c:pt idx="27">
                  <c:v>45.5</c:v>
                </c:pt>
                <c:pt idx="28">
                  <c:v>46.5</c:v>
                </c:pt>
                <c:pt idx="29">
                  <c:v>47.5</c:v>
                </c:pt>
                <c:pt idx="30">
                  <c:v>48.5</c:v>
                </c:pt>
                <c:pt idx="31">
                  <c:v>49.5</c:v>
                </c:pt>
                <c:pt idx="32">
                  <c:v>50.5</c:v>
                </c:pt>
                <c:pt idx="33">
                  <c:v>51.5</c:v>
                </c:pt>
                <c:pt idx="34">
                  <c:v>52.5</c:v>
                </c:pt>
                <c:pt idx="35">
                  <c:v>53.5</c:v>
                </c:pt>
                <c:pt idx="36">
                  <c:v>54.5</c:v>
                </c:pt>
                <c:pt idx="37">
                  <c:v>55.5</c:v>
                </c:pt>
              </c:numCache>
            </c:numRef>
          </c:xVal>
          <c:yVal>
            <c:numRef>
              <c:f>'Encouter probability model'!$E$14:$E$51</c:f>
              <c:numCache>
                <c:ptCount val="38"/>
                <c:pt idx="0">
                  <c:v>0</c:v>
                </c:pt>
                <c:pt idx="1">
                  <c:v>0.2</c:v>
                </c:pt>
                <c:pt idx="2">
                  <c:v>0.038461538461538464</c:v>
                </c:pt>
                <c:pt idx="3">
                  <c:v>0.028169014084507043</c:v>
                </c:pt>
                <c:pt idx="4">
                  <c:v>0.062111801242236024</c:v>
                </c:pt>
                <c:pt idx="5">
                  <c:v>0.06403940886699508</c:v>
                </c:pt>
                <c:pt idx="6">
                  <c:v>0.04950495049504951</c:v>
                </c:pt>
                <c:pt idx="7">
                  <c:v>0.0875</c:v>
                </c:pt>
                <c:pt idx="8">
                  <c:v>0.06422018348623854</c:v>
                </c:pt>
                <c:pt idx="9">
                  <c:v>0.015873015873015872</c:v>
                </c:pt>
                <c:pt idx="10">
                  <c:v>0.04</c:v>
                </c:pt>
                <c:pt idx="11">
                  <c:v>0</c:v>
                </c:pt>
                <c:pt idx="12">
                  <c:v>0.1111111111111111</c:v>
                </c:pt>
                <c:pt idx="13">
                  <c:v>0.14285714285714285</c:v>
                </c:pt>
                <c:pt idx="14">
                  <c:v>0.20833333333333334</c:v>
                </c:pt>
                <c:pt idx="15">
                  <c:v>0.1111111111111111</c:v>
                </c:pt>
                <c:pt idx="16">
                  <c:v>0.37209302325581395</c:v>
                </c:pt>
                <c:pt idx="17">
                  <c:v>0.3673469387755102</c:v>
                </c:pt>
                <c:pt idx="18">
                  <c:v>0.38333333333333336</c:v>
                </c:pt>
                <c:pt idx="19">
                  <c:v>0.5294117647058824</c:v>
                </c:pt>
                <c:pt idx="20">
                  <c:v>0.6263736263736264</c:v>
                </c:pt>
                <c:pt idx="21">
                  <c:v>0.6571428571428571</c:v>
                </c:pt>
                <c:pt idx="22">
                  <c:v>0.7638888888888888</c:v>
                </c:pt>
                <c:pt idx="23">
                  <c:v>0.84</c:v>
                </c:pt>
                <c:pt idx="24">
                  <c:v>0.9629629629629629</c:v>
                </c:pt>
                <c:pt idx="25">
                  <c:v>0.9</c:v>
                </c:pt>
                <c:pt idx="26">
                  <c:v>0.9166666666666666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</c:numCache>
            </c:numRef>
          </c:yVal>
          <c:smooth val="0"/>
        </c:ser>
        <c:axId val="2592279"/>
        <c:axId val="23330512"/>
      </c:scatterChart>
      <c:valAx>
        <c:axId val="2592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Length (ｃm)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3330512"/>
        <c:crosses val="autoZero"/>
        <c:crossBetween val="midCat"/>
        <c:dispUnits/>
      </c:valAx>
      <c:valAx>
        <c:axId val="23330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Selectivity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92279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0</xdr:row>
      <xdr:rowOff>0</xdr:rowOff>
    </xdr:from>
    <xdr:to>
      <xdr:col>17</xdr:col>
      <xdr:colOff>66675</xdr:colOff>
      <xdr:row>14</xdr:row>
      <xdr:rowOff>9525</xdr:rowOff>
    </xdr:to>
    <xdr:graphicFrame>
      <xdr:nvGraphicFramePr>
        <xdr:cNvPr id="1" name="Chart 2"/>
        <xdr:cNvGraphicFramePr/>
      </xdr:nvGraphicFramePr>
      <xdr:xfrm>
        <a:off x="13344525" y="0"/>
        <a:ext cx="49625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466725</xdr:colOff>
      <xdr:row>14</xdr:row>
      <xdr:rowOff>38100</xdr:rowOff>
    </xdr:from>
    <xdr:to>
      <xdr:col>14</xdr:col>
      <xdr:colOff>571500</xdr:colOff>
      <xdr:row>27</xdr:row>
      <xdr:rowOff>171450</xdr:rowOff>
    </xdr:to>
    <xdr:graphicFrame>
      <xdr:nvGraphicFramePr>
        <xdr:cNvPr id="2" name="Chart 4"/>
        <xdr:cNvGraphicFramePr/>
      </xdr:nvGraphicFramePr>
      <xdr:xfrm>
        <a:off x="10629900" y="3076575"/>
        <a:ext cx="515302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180975</xdr:colOff>
      <xdr:row>5</xdr:row>
      <xdr:rowOff>66675</xdr:rowOff>
    </xdr:from>
    <xdr:to>
      <xdr:col>6</xdr:col>
      <xdr:colOff>781050</xdr:colOff>
      <xdr:row>6</xdr:row>
      <xdr:rowOff>114300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5667375" y="1209675"/>
          <a:ext cx="1609725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Changing cells</a:t>
          </a:r>
        </a:p>
      </xdr:txBody>
    </xdr:sp>
    <xdr:clientData/>
  </xdr:twoCellAnchor>
  <xdr:twoCellAnchor>
    <xdr:from>
      <xdr:col>7</xdr:col>
      <xdr:colOff>190500</xdr:colOff>
      <xdr:row>8</xdr:row>
      <xdr:rowOff>38100</xdr:rowOff>
    </xdr:from>
    <xdr:to>
      <xdr:col>9</xdr:col>
      <xdr:colOff>723900</xdr:colOff>
      <xdr:row>9</xdr:row>
      <xdr:rowOff>200025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7839075" y="1866900"/>
          <a:ext cx="3048000" cy="371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Target cell should be maximized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</xdr:row>
      <xdr:rowOff>95250</xdr:rowOff>
    </xdr:from>
    <xdr:to>
      <xdr:col>16</xdr:col>
      <xdr:colOff>942975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3201650" y="352425"/>
        <a:ext cx="49720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</xdr:colOff>
      <xdr:row>17</xdr:row>
      <xdr:rowOff>28575</xdr:rowOff>
    </xdr:from>
    <xdr:to>
      <xdr:col>17</xdr:col>
      <xdr:colOff>142875</xdr:colOff>
      <xdr:row>32</xdr:row>
      <xdr:rowOff>161925</xdr:rowOff>
    </xdr:to>
    <xdr:graphicFrame>
      <xdr:nvGraphicFramePr>
        <xdr:cNvPr id="2" name="Chart 2"/>
        <xdr:cNvGraphicFramePr/>
      </xdr:nvGraphicFramePr>
      <xdr:xfrm>
        <a:off x="13230225" y="3752850"/>
        <a:ext cx="51530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247650</xdr:colOff>
      <xdr:row>6</xdr:row>
      <xdr:rowOff>9525</xdr:rowOff>
    </xdr:from>
    <xdr:to>
      <xdr:col>6</xdr:col>
      <xdr:colOff>857250</xdr:colOff>
      <xdr:row>6</xdr:row>
      <xdr:rowOff>238125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5734050" y="1447800"/>
          <a:ext cx="1619250" cy="2286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Changing cells</a:t>
          </a:r>
        </a:p>
      </xdr:txBody>
    </xdr:sp>
    <xdr:clientData/>
  </xdr:twoCellAnchor>
  <xdr:twoCellAnchor>
    <xdr:from>
      <xdr:col>7</xdr:col>
      <xdr:colOff>190500</xdr:colOff>
      <xdr:row>8</xdr:row>
      <xdr:rowOff>38100</xdr:rowOff>
    </xdr:from>
    <xdr:to>
      <xdr:col>9</xdr:col>
      <xdr:colOff>723900</xdr:colOff>
      <xdr:row>9</xdr:row>
      <xdr:rowOff>85725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7839075" y="1952625"/>
          <a:ext cx="30480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Target cell should be maximized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</xdr:row>
      <xdr:rowOff>95250</xdr:rowOff>
    </xdr:from>
    <xdr:to>
      <xdr:col>16</xdr:col>
      <xdr:colOff>942975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3201650" y="352425"/>
        <a:ext cx="49720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</xdr:colOff>
      <xdr:row>17</xdr:row>
      <xdr:rowOff>28575</xdr:rowOff>
    </xdr:from>
    <xdr:to>
      <xdr:col>17</xdr:col>
      <xdr:colOff>142875</xdr:colOff>
      <xdr:row>32</xdr:row>
      <xdr:rowOff>161925</xdr:rowOff>
    </xdr:to>
    <xdr:graphicFrame>
      <xdr:nvGraphicFramePr>
        <xdr:cNvPr id="2" name="Chart 2"/>
        <xdr:cNvGraphicFramePr/>
      </xdr:nvGraphicFramePr>
      <xdr:xfrm>
        <a:off x="13230225" y="3657600"/>
        <a:ext cx="51530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247650</xdr:colOff>
      <xdr:row>6</xdr:row>
      <xdr:rowOff>9525</xdr:rowOff>
    </xdr:from>
    <xdr:to>
      <xdr:col>6</xdr:col>
      <xdr:colOff>857250</xdr:colOff>
      <xdr:row>6</xdr:row>
      <xdr:rowOff>238125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5734050" y="1352550"/>
          <a:ext cx="1619250" cy="2286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Changing cells</a:t>
          </a:r>
        </a:p>
      </xdr:txBody>
    </xdr:sp>
    <xdr:clientData/>
  </xdr:twoCellAnchor>
  <xdr:twoCellAnchor>
    <xdr:from>
      <xdr:col>7</xdr:col>
      <xdr:colOff>190500</xdr:colOff>
      <xdr:row>8</xdr:row>
      <xdr:rowOff>38100</xdr:rowOff>
    </xdr:from>
    <xdr:to>
      <xdr:col>9</xdr:col>
      <xdr:colOff>723900</xdr:colOff>
      <xdr:row>9</xdr:row>
      <xdr:rowOff>85725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7839075" y="1857375"/>
          <a:ext cx="30480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Target cell should be maximized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307"/>
  <sheetViews>
    <sheetView defaultGridColor="0" zoomScale="75" zoomScaleNormal="75" colorId="22" workbookViewId="0" topLeftCell="A1">
      <selection activeCell="H8" sqref="H8"/>
    </sheetView>
  </sheetViews>
  <sheetFormatPr defaultColWidth="10.59765625" defaultRowHeight="15"/>
  <cols>
    <col min="1" max="4" width="10.59765625" style="0" customWidth="1"/>
    <col min="5" max="5" width="15.19921875" style="0" customWidth="1"/>
    <col min="6" max="6" width="10.59765625" style="0" customWidth="1"/>
    <col min="7" max="7" width="12.09765625" style="0" customWidth="1"/>
    <col min="8" max="9" width="13.19921875" style="0" customWidth="1"/>
    <col min="10" max="11" width="10.59765625" style="0" customWidth="1"/>
  </cols>
  <sheetData>
    <row r="1" spans="1:10" ht="20.25">
      <c r="A1" s="12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2:10" ht="20.25">
      <c r="B2" s="12" t="s">
        <v>1</v>
      </c>
      <c r="C2" s="1"/>
      <c r="D2" s="1"/>
      <c r="G2" s="1"/>
      <c r="H2" s="2"/>
      <c r="I2" s="1"/>
      <c r="J2" s="1"/>
    </row>
    <row r="3" spans="1:10" ht="16.5" thickBot="1">
      <c r="A3" s="1"/>
      <c r="B3" s="1"/>
      <c r="C3" s="1"/>
      <c r="D3" s="1"/>
      <c r="E3" s="1" t="s">
        <v>2</v>
      </c>
      <c r="F3" s="1"/>
      <c r="G3" s="1"/>
      <c r="H3" s="1" t="s">
        <v>3</v>
      </c>
      <c r="I3" s="2" t="s">
        <v>4</v>
      </c>
      <c r="J3" s="1"/>
    </row>
    <row r="4" spans="1:10" ht="16.5" thickTop="1">
      <c r="A4" s="1"/>
      <c r="B4" s="1"/>
      <c r="C4" s="1"/>
      <c r="D4" s="1"/>
      <c r="E4" s="3" t="s">
        <v>5</v>
      </c>
      <c r="F4" s="10">
        <v>-8.952783346048893</v>
      </c>
      <c r="G4" s="1"/>
      <c r="H4" s="4">
        <f>-J4*H5</f>
        <v>-7.690286020676768</v>
      </c>
      <c r="I4" s="3" t="s">
        <v>6</v>
      </c>
      <c r="J4" s="5">
        <v>35</v>
      </c>
    </row>
    <row r="5" spans="1:10" ht="16.5" thickBot="1">
      <c r="A5" s="1"/>
      <c r="B5" s="1"/>
      <c r="C5" s="1"/>
      <c r="D5" s="1"/>
      <c r="E5" s="3" t="s">
        <v>7</v>
      </c>
      <c r="F5" s="11">
        <v>0.24514916574160647</v>
      </c>
      <c r="G5" s="1"/>
      <c r="H5" s="4">
        <f>2*LN(3)/J5</f>
        <v>0.21972245773362195</v>
      </c>
      <c r="I5" s="3" t="s">
        <v>8</v>
      </c>
      <c r="J5" s="5">
        <v>10</v>
      </c>
    </row>
    <row r="6" spans="1:10" ht="16.5" thickTop="1">
      <c r="A6" s="19"/>
      <c r="B6" s="20"/>
      <c r="C6" s="20"/>
      <c r="D6" s="20"/>
      <c r="E6" s="3"/>
      <c r="F6" s="1"/>
      <c r="G6" s="1"/>
      <c r="H6" s="5"/>
      <c r="I6" s="1"/>
      <c r="J6" s="1" t="s">
        <v>9</v>
      </c>
    </row>
    <row r="7" spans="1:10" ht="20.25" customHeight="1" thickBot="1">
      <c r="A7" s="20"/>
      <c r="B7" s="20"/>
      <c r="C7" s="20"/>
      <c r="D7" s="20"/>
      <c r="E7" s="1"/>
      <c r="F7" s="1"/>
      <c r="G7" s="1"/>
      <c r="H7" s="1" t="s">
        <v>10</v>
      </c>
      <c r="I7" s="1"/>
      <c r="J7" s="1" t="s">
        <v>11</v>
      </c>
    </row>
    <row r="8" spans="1:10" ht="17.25" thickBot="1" thickTop="1">
      <c r="A8" s="20"/>
      <c r="B8" s="20"/>
      <c r="C8" s="20"/>
      <c r="D8" s="20"/>
      <c r="E8" s="3" t="s">
        <v>6</v>
      </c>
      <c r="F8" s="1">
        <f>-F4/F5</f>
        <v>36.519738172331195</v>
      </c>
      <c r="G8" s="1"/>
      <c r="H8" s="6">
        <f>SUM(I14:I51)</f>
        <v>-65.10675644005234</v>
      </c>
      <c r="I8" s="1"/>
      <c r="J8" s="1">
        <f>-2*H8+2*2</f>
        <v>134.21351288010467</v>
      </c>
    </row>
    <row r="9" spans="1:10" ht="16.5" thickTop="1">
      <c r="A9" s="17"/>
      <c r="B9" s="17"/>
      <c r="C9" s="17"/>
      <c r="D9" s="17"/>
      <c r="E9" s="3" t="s">
        <v>12</v>
      </c>
      <c r="F9" s="7">
        <f>2*LN(3)/F5</f>
        <v>8.962806667888687</v>
      </c>
      <c r="G9" s="1"/>
      <c r="H9" s="8"/>
      <c r="I9" s="1"/>
      <c r="J9" s="1"/>
    </row>
    <row r="10" spans="1:10" ht="15.75">
      <c r="A10" s="15"/>
      <c r="B10" s="16"/>
      <c r="C10" s="16"/>
      <c r="D10" s="16"/>
      <c r="E10" s="16"/>
      <c r="F10" s="16"/>
      <c r="G10" s="1"/>
      <c r="H10" s="8"/>
      <c r="I10" s="1"/>
      <c r="J10" s="1"/>
    </row>
    <row r="11" spans="1:10" ht="15.75">
      <c r="A11" s="16"/>
      <c r="B11" s="16"/>
      <c r="C11" s="16"/>
      <c r="D11" s="16"/>
      <c r="E11" s="16"/>
      <c r="F11" s="16"/>
      <c r="G11" s="1"/>
      <c r="H11" s="8"/>
      <c r="I11" s="7"/>
      <c r="J11" s="1"/>
    </row>
    <row r="12" spans="1:10" ht="15.75">
      <c r="A12" s="1"/>
      <c r="B12" s="1" t="s">
        <v>13</v>
      </c>
      <c r="C12" s="1"/>
      <c r="D12" s="1"/>
      <c r="E12" s="1" t="s">
        <v>14</v>
      </c>
      <c r="F12" s="5" t="s">
        <v>15</v>
      </c>
      <c r="G12" s="1"/>
      <c r="H12" s="1" t="s">
        <v>16</v>
      </c>
      <c r="I12" s="1" t="s">
        <v>17</v>
      </c>
      <c r="J12" s="1"/>
    </row>
    <row r="13" spans="1:10" ht="15.75">
      <c r="A13" s="1" t="s">
        <v>18</v>
      </c>
      <c r="B13" s="1" t="s">
        <v>19</v>
      </c>
      <c r="C13" s="1" t="s">
        <v>20</v>
      </c>
      <c r="D13" s="1" t="s">
        <v>21</v>
      </c>
      <c r="E13" s="1" t="s">
        <v>22</v>
      </c>
      <c r="F13" s="1" t="s">
        <v>23</v>
      </c>
      <c r="G13" s="1"/>
      <c r="H13" s="1" t="s">
        <v>24</v>
      </c>
      <c r="J13" s="1"/>
    </row>
    <row r="14" spans="1:10" ht="15.75">
      <c r="A14" s="1">
        <v>18.5</v>
      </c>
      <c r="B14" s="1">
        <v>0</v>
      </c>
      <c r="C14" s="1">
        <v>0</v>
      </c>
      <c r="D14" s="1">
        <f>+C14+B14</f>
        <v>0</v>
      </c>
      <c r="E14" s="4" t="e">
        <f aca="true" t="shared" si="0" ref="E14:E51">+B14/(C14+B14)</f>
        <v>#DIV/0!</v>
      </c>
      <c r="F14" s="4">
        <f>EXP($F$4+$F$5*A14)/(1+EXP($F$4+$F$5*A14))</f>
        <v>0.011920261763004546</v>
      </c>
      <c r="G14" s="4"/>
      <c r="H14" s="4">
        <f>COMBIN(D14,B14)*(F14^B14)*((1-F14)^C14)</f>
        <v>1</v>
      </c>
      <c r="I14" s="4">
        <f>LN(H14)</f>
        <v>0</v>
      </c>
      <c r="J14" s="1"/>
    </row>
    <row r="15" spans="1:10" ht="15.75">
      <c r="A15" s="1">
        <v>19.5</v>
      </c>
      <c r="B15" s="1">
        <v>1</v>
      </c>
      <c r="C15" s="1">
        <v>4</v>
      </c>
      <c r="D15" s="1">
        <f>+C15+B15</f>
        <v>5</v>
      </c>
      <c r="E15" s="4">
        <f t="shared" si="0"/>
        <v>0.2</v>
      </c>
      <c r="F15" s="4">
        <f aca="true" t="shared" si="1" ref="F15:F51">EXP($F$4+$F$5*A15)/(1+EXP($F$4+$F$5*A15))</f>
        <v>0.01518157721970325</v>
      </c>
      <c r="G15" s="4"/>
      <c r="H15" s="4">
        <f>COMBIN(D15,B15)*(F15^B15)*((1-F15)^C15)</f>
        <v>0.07140219359820803</v>
      </c>
      <c r="I15" s="4">
        <f>LN(H15)</f>
        <v>-2.6394266874445518</v>
      </c>
      <c r="J15" s="1"/>
    </row>
    <row r="16" spans="1:10" ht="15.75">
      <c r="A16" s="1">
        <v>20.5</v>
      </c>
      <c r="B16" s="1">
        <v>1</v>
      </c>
      <c r="C16" s="1">
        <v>25</v>
      </c>
      <c r="D16" s="1">
        <f>+C16+B16</f>
        <v>26</v>
      </c>
      <c r="E16" s="4">
        <f t="shared" si="0"/>
        <v>0.038461538461538464</v>
      </c>
      <c r="F16" s="4">
        <f t="shared" si="1"/>
        <v>0.0193177252242368</v>
      </c>
      <c r="G16" s="4"/>
      <c r="H16" s="4">
        <f>COMBIN(D16,B16)*(F16^B16)*((1-F16)^C16)</f>
        <v>0.3084164092135292</v>
      </c>
      <c r="I16" s="4">
        <f>LN(H16)</f>
        <v>-1.1763044311418682</v>
      </c>
      <c r="J16" s="1"/>
    </row>
    <row r="17" spans="1:10" ht="15.75">
      <c r="A17" s="1">
        <v>21.5</v>
      </c>
      <c r="B17" s="1">
        <v>2</v>
      </c>
      <c r="C17" s="1">
        <v>69</v>
      </c>
      <c r="D17" s="1">
        <f>+C17+B17</f>
        <v>71</v>
      </c>
      <c r="E17" s="4">
        <f t="shared" si="0"/>
        <v>0.028169014084507043</v>
      </c>
      <c r="F17" s="4">
        <f t="shared" si="1"/>
        <v>0.024552652689366773</v>
      </c>
      <c r="G17" s="4"/>
      <c r="H17" s="4">
        <f>COMBIN(D17,B17)*(F17^B17)*((1-F17)^C17)</f>
        <v>0.26951791821887777</v>
      </c>
      <c r="I17" s="4">
        <f aca="true" t="shared" si="2" ref="I17:I51">LN(H17)</f>
        <v>-1.3111204039457354</v>
      </c>
      <c r="J17" s="1"/>
    </row>
    <row r="18" spans="1:10" ht="15.75">
      <c r="A18" s="1">
        <v>22.5</v>
      </c>
      <c r="B18" s="1">
        <v>10</v>
      </c>
      <c r="C18" s="1">
        <v>151</v>
      </c>
      <c r="D18" s="1">
        <f aca="true" t="shared" si="3" ref="D18:D51">+C18+B18</f>
        <v>161</v>
      </c>
      <c r="E18" s="4">
        <f t="shared" si="0"/>
        <v>0.062111801242236024</v>
      </c>
      <c r="F18" s="4">
        <f t="shared" si="1"/>
        <v>0.031161121292714696</v>
      </c>
      <c r="G18" s="4"/>
      <c r="H18" s="4">
        <f aca="true" t="shared" si="4" ref="H18:H30">COMBIN(D18,B18)*(F18^B18)*((1-F18)^C18)</f>
        <v>0.01756971864079629</v>
      </c>
      <c r="I18" s="4">
        <f t="shared" si="2"/>
        <v>-4.041578390525677</v>
      </c>
      <c r="J18" s="1"/>
    </row>
    <row r="19" spans="1:10" ht="15.75">
      <c r="A19" s="1">
        <v>23.5</v>
      </c>
      <c r="B19" s="1">
        <v>13</v>
      </c>
      <c r="C19" s="1">
        <v>190</v>
      </c>
      <c r="D19" s="1">
        <f t="shared" si="3"/>
        <v>203</v>
      </c>
      <c r="E19" s="4">
        <f t="shared" si="0"/>
        <v>0.06403940886699508</v>
      </c>
      <c r="F19" s="4">
        <f t="shared" si="1"/>
        <v>0.039476308099141204</v>
      </c>
      <c r="G19" s="4"/>
      <c r="H19" s="4">
        <f t="shared" si="4"/>
        <v>0.028951583418965893</v>
      </c>
      <c r="I19" s="4">
        <f t="shared" si="2"/>
        <v>-3.5421303815032035</v>
      </c>
      <c r="J19" s="1"/>
    </row>
    <row r="20" spans="1:10" ht="15.75">
      <c r="A20" s="1">
        <v>24.5</v>
      </c>
      <c r="B20" s="1">
        <v>10</v>
      </c>
      <c r="C20" s="1">
        <v>192</v>
      </c>
      <c r="D20" s="1">
        <f t="shared" si="3"/>
        <v>202</v>
      </c>
      <c r="E20" s="4">
        <f t="shared" si="0"/>
        <v>0.04950495049504951</v>
      </c>
      <c r="F20" s="4">
        <f t="shared" si="1"/>
        <v>0.04989608664395297</v>
      </c>
      <c r="G20" s="4"/>
      <c r="H20" s="4">
        <f t="shared" si="4"/>
        <v>0.12828207630170027</v>
      </c>
      <c r="I20" s="4">
        <f>LN(H20)</f>
        <v>-2.053523718587357</v>
      </c>
      <c r="J20" s="1"/>
    </row>
    <row r="21" spans="1:10" ht="15.75">
      <c r="A21" s="1">
        <v>25.5</v>
      </c>
      <c r="B21" s="1">
        <v>14</v>
      </c>
      <c r="C21" s="1">
        <v>146</v>
      </c>
      <c r="D21" s="1">
        <f t="shared" si="3"/>
        <v>160</v>
      </c>
      <c r="E21" s="4">
        <f t="shared" si="0"/>
        <v>0.0875</v>
      </c>
      <c r="F21" s="4">
        <f t="shared" si="1"/>
        <v>0.06288610352312</v>
      </c>
      <c r="G21" s="4"/>
      <c r="H21" s="4">
        <f t="shared" si="4"/>
        <v>0.053022947265512196</v>
      </c>
      <c r="I21" s="4">
        <f t="shared" si="2"/>
        <v>-2.9370304918594843</v>
      </c>
      <c r="J21" s="1"/>
    </row>
    <row r="22" spans="1:10" ht="15.75">
      <c r="A22" s="1">
        <v>26.5</v>
      </c>
      <c r="B22" s="1">
        <v>7</v>
      </c>
      <c r="C22" s="1">
        <v>102</v>
      </c>
      <c r="D22" s="1">
        <f t="shared" si="3"/>
        <v>109</v>
      </c>
      <c r="E22" s="4">
        <f t="shared" si="0"/>
        <v>0.06422018348623854</v>
      </c>
      <c r="F22" s="4">
        <f t="shared" si="1"/>
        <v>0.0789768460878373</v>
      </c>
      <c r="G22" s="4"/>
      <c r="H22" s="4">
        <f t="shared" si="4"/>
        <v>0.12949817406226632</v>
      </c>
      <c r="I22" s="4">
        <f t="shared" si="2"/>
        <v>-2.0440884978472287</v>
      </c>
      <c r="J22" s="1"/>
    </row>
    <row r="23" spans="1:10" ht="15.75">
      <c r="A23" s="1">
        <v>27.5</v>
      </c>
      <c r="B23" s="1">
        <v>1</v>
      </c>
      <c r="C23" s="1">
        <v>62</v>
      </c>
      <c r="D23" s="1">
        <f t="shared" si="3"/>
        <v>63</v>
      </c>
      <c r="E23" s="4">
        <f t="shared" si="0"/>
        <v>0.015873015873015872</v>
      </c>
      <c r="F23" s="4">
        <f t="shared" si="1"/>
        <v>0.09875088969097481</v>
      </c>
      <c r="G23" s="4"/>
      <c r="H23" s="4">
        <f t="shared" si="4"/>
        <v>0.009868751303152172</v>
      </c>
      <c r="I23" s="4">
        <f t="shared" si="2"/>
        <v>-4.6183819479119785</v>
      </c>
      <c r="J23" s="1"/>
    </row>
    <row r="24" spans="1:10" ht="15.75">
      <c r="A24" s="1">
        <v>28.5</v>
      </c>
      <c r="B24" s="1">
        <v>1</v>
      </c>
      <c r="C24" s="1">
        <v>24</v>
      </c>
      <c r="D24" s="1">
        <f t="shared" si="3"/>
        <v>25</v>
      </c>
      <c r="E24" s="4">
        <f t="shared" si="0"/>
        <v>0.04</v>
      </c>
      <c r="F24" s="4">
        <f t="shared" si="1"/>
        <v>0.122815714911173</v>
      </c>
      <c r="G24" s="4"/>
      <c r="H24" s="4">
        <f t="shared" si="4"/>
        <v>0.1322434503938433</v>
      </c>
      <c r="I24" s="4">
        <f t="shared" si="2"/>
        <v>-2.02311073390229</v>
      </c>
      <c r="J24" s="1"/>
    </row>
    <row r="25" spans="1:10" ht="15.75">
      <c r="A25" s="1">
        <v>29.5</v>
      </c>
      <c r="B25" s="1">
        <v>0</v>
      </c>
      <c r="C25" s="1">
        <v>4</v>
      </c>
      <c r="D25" s="1">
        <f t="shared" si="3"/>
        <v>4</v>
      </c>
      <c r="E25" s="4">
        <f t="shared" si="0"/>
        <v>0</v>
      </c>
      <c r="F25" s="4">
        <f t="shared" si="1"/>
        <v>0.15175746821838892</v>
      </c>
      <c r="G25" s="4"/>
      <c r="H25" s="4">
        <f t="shared" si="4"/>
        <v>0.5177024003657323</v>
      </c>
      <c r="I25" s="4">
        <f t="shared" si="2"/>
        <v>-0.6583547184890629</v>
      </c>
      <c r="J25" s="1"/>
    </row>
    <row r="26" spans="1:10" ht="15.75">
      <c r="A26" s="1">
        <v>30.5</v>
      </c>
      <c r="B26" s="1">
        <v>1</v>
      </c>
      <c r="C26" s="1">
        <v>8</v>
      </c>
      <c r="D26" s="1">
        <f t="shared" si="3"/>
        <v>9</v>
      </c>
      <c r="E26" s="4">
        <f t="shared" si="0"/>
        <v>0.1111111111111111</v>
      </c>
      <c r="F26" s="4">
        <f t="shared" si="1"/>
        <v>0.1860726699345922</v>
      </c>
      <c r="G26" s="4"/>
      <c r="H26" s="4">
        <f t="shared" si="4"/>
        <v>0.3225597327031906</v>
      </c>
      <c r="I26" s="4">
        <f t="shared" si="2"/>
        <v>-1.1314669422126755</v>
      </c>
      <c r="J26" s="1"/>
    </row>
    <row r="27" spans="1:10" ht="15.75">
      <c r="A27" s="1">
        <v>31.5</v>
      </c>
      <c r="B27" s="4">
        <v>2</v>
      </c>
      <c r="C27" s="1">
        <v>12</v>
      </c>
      <c r="D27" s="1">
        <f t="shared" si="3"/>
        <v>14</v>
      </c>
      <c r="E27" s="4">
        <f t="shared" si="0"/>
        <v>0.14285714285714285</v>
      </c>
      <c r="F27" s="4">
        <f t="shared" si="1"/>
        <v>0.2260791190294536</v>
      </c>
      <c r="G27" s="4"/>
      <c r="H27" s="4">
        <f t="shared" si="4"/>
        <v>0.2147440154431511</v>
      </c>
      <c r="I27" s="4">
        <f t="shared" si="2"/>
        <v>-1.5383085860583448</v>
      </c>
      <c r="J27" s="1"/>
    </row>
    <row r="28" spans="1:10" ht="15.75">
      <c r="A28" s="1">
        <v>32.5</v>
      </c>
      <c r="B28" s="4">
        <v>5</v>
      </c>
      <c r="C28" s="1">
        <v>19</v>
      </c>
      <c r="D28" s="1">
        <f t="shared" si="3"/>
        <v>24</v>
      </c>
      <c r="E28" s="4">
        <f t="shared" si="0"/>
        <v>0.20833333333333334</v>
      </c>
      <c r="F28" s="4">
        <f t="shared" si="1"/>
        <v>0.27181460206139135</v>
      </c>
      <c r="G28" s="4"/>
      <c r="H28" s="4">
        <f t="shared" si="4"/>
        <v>0.15219173689377807</v>
      </c>
      <c r="I28" s="4">
        <f t="shared" si="2"/>
        <v>-1.882614126133636</v>
      </c>
      <c r="J28" s="1"/>
    </row>
    <row r="29" spans="1:10" ht="15.75">
      <c r="A29" s="1">
        <v>33.5</v>
      </c>
      <c r="B29" s="4">
        <v>2</v>
      </c>
      <c r="C29" s="1">
        <v>16</v>
      </c>
      <c r="D29" s="1">
        <f t="shared" si="3"/>
        <v>18</v>
      </c>
      <c r="E29" s="4">
        <f t="shared" si="0"/>
        <v>0.1111111111111111</v>
      </c>
      <c r="F29" s="4">
        <f t="shared" si="1"/>
        <v>0.3229415423833522</v>
      </c>
      <c r="G29" s="4"/>
      <c r="H29" s="4">
        <f t="shared" si="4"/>
        <v>0.031114150047346106</v>
      </c>
      <c r="I29" s="4">
        <f t="shared" si="2"/>
        <v>-3.470092577826229</v>
      </c>
      <c r="J29" s="1"/>
    </row>
    <row r="30" spans="1:10" ht="15.75">
      <c r="A30" s="1">
        <v>34.5</v>
      </c>
      <c r="B30" s="4">
        <v>16</v>
      </c>
      <c r="C30" s="1">
        <v>27</v>
      </c>
      <c r="D30" s="1">
        <f t="shared" si="3"/>
        <v>43</v>
      </c>
      <c r="E30" s="4">
        <f t="shared" si="0"/>
        <v>0.37209302325581395</v>
      </c>
      <c r="F30" s="4">
        <f t="shared" si="1"/>
        <v>0.3786841404673547</v>
      </c>
      <c r="G30" s="4"/>
      <c r="H30" s="4">
        <f t="shared" si="4"/>
        <v>0.12457016002428171</v>
      </c>
      <c r="I30" s="4">
        <f t="shared" si="2"/>
        <v>-2.082886187471637</v>
      </c>
      <c r="J30" s="1"/>
    </row>
    <row r="31" spans="1:10" ht="15.75">
      <c r="A31" s="1">
        <v>35.5</v>
      </c>
      <c r="B31" s="4">
        <v>18</v>
      </c>
      <c r="C31" s="1">
        <v>31</v>
      </c>
      <c r="D31" s="1">
        <f t="shared" si="3"/>
        <v>49</v>
      </c>
      <c r="E31" s="4">
        <f t="shared" si="0"/>
        <v>0.3673469387755102</v>
      </c>
      <c r="F31" s="4">
        <f t="shared" si="1"/>
        <v>0.43782646202389963</v>
      </c>
      <c r="G31" s="4"/>
      <c r="H31" s="4">
        <f aca="true" t="shared" si="5" ref="H31:H36">COMBIN(D31,B31)*(F31^B31)*((1-F31)^C31)</f>
        <v>0.07114765164954341</v>
      </c>
      <c r="I31" s="4">
        <f t="shared" si="2"/>
        <v>-2.6429979606193164</v>
      </c>
      <c r="J31" s="1"/>
    </row>
    <row r="32" spans="1:10" ht="15.75">
      <c r="A32" s="1">
        <v>36.5</v>
      </c>
      <c r="B32" s="1">
        <v>23</v>
      </c>
      <c r="C32" s="1">
        <v>37</v>
      </c>
      <c r="D32" s="1">
        <f t="shared" si="3"/>
        <v>60</v>
      </c>
      <c r="E32" s="4">
        <f t="shared" si="0"/>
        <v>0.38333333333333336</v>
      </c>
      <c r="F32" s="4">
        <f t="shared" si="1"/>
        <v>0.4987903032402499</v>
      </c>
      <c r="G32" s="1"/>
      <c r="H32" s="4">
        <f t="shared" si="5"/>
        <v>0.020978661821521794</v>
      </c>
      <c r="I32" s="4">
        <f t="shared" si="2"/>
        <v>-3.864249461579138</v>
      </c>
      <c r="J32" s="1"/>
    </row>
    <row r="33" spans="1:10" ht="15.75">
      <c r="A33" s="1">
        <v>37.5</v>
      </c>
      <c r="B33" s="4">
        <v>36</v>
      </c>
      <c r="C33" s="4">
        <v>32</v>
      </c>
      <c r="D33" s="1">
        <f t="shared" si="3"/>
        <v>68</v>
      </c>
      <c r="E33" s="4">
        <f t="shared" si="0"/>
        <v>0.5294117647058824</v>
      </c>
      <c r="F33" s="4">
        <f t="shared" si="1"/>
        <v>0.5597901334745587</v>
      </c>
      <c r="G33" s="9"/>
      <c r="H33" s="4">
        <f t="shared" si="5"/>
        <v>0.08506919954276795</v>
      </c>
      <c r="I33" s="4">
        <f t="shared" si="2"/>
        <v>-2.4642902414336056</v>
      </c>
      <c r="J33" s="1"/>
    </row>
    <row r="34" spans="1:10" ht="15.75">
      <c r="A34" s="1">
        <v>38.5</v>
      </c>
      <c r="B34" s="1">
        <v>57</v>
      </c>
      <c r="C34" s="4">
        <v>34</v>
      </c>
      <c r="D34" s="1">
        <f t="shared" si="3"/>
        <v>91</v>
      </c>
      <c r="E34" s="4">
        <f t="shared" si="0"/>
        <v>0.6263736263736264</v>
      </c>
      <c r="F34" s="4">
        <f t="shared" si="1"/>
        <v>0.6190362330388911</v>
      </c>
      <c r="G34" s="9"/>
      <c r="H34" s="4">
        <f t="shared" si="5"/>
        <v>0.08529622550800496</v>
      </c>
      <c r="I34" s="4">
        <f t="shared" si="2"/>
        <v>-2.4616250750766184</v>
      </c>
      <c r="J34" s="1"/>
    </row>
    <row r="35" spans="1:10" ht="15.75">
      <c r="A35" s="1">
        <v>39.5</v>
      </c>
      <c r="B35" s="1">
        <v>46</v>
      </c>
      <c r="C35" s="4">
        <v>24</v>
      </c>
      <c r="D35" s="1">
        <f t="shared" si="3"/>
        <v>70</v>
      </c>
      <c r="E35" s="4">
        <f t="shared" si="0"/>
        <v>0.6571428571428571</v>
      </c>
      <c r="F35" s="4">
        <f t="shared" si="1"/>
        <v>0.6749388335552653</v>
      </c>
      <c r="G35" s="9"/>
      <c r="H35" s="4">
        <f t="shared" si="5"/>
        <v>0.09516012045120727</v>
      </c>
      <c r="I35" s="4">
        <f t="shared" si="2"/>
        <v>-2.352194327772569</v>
      </c>
      <c r="J35" s="1"/>
    </row>
    <row r="36" spans="1:10" ht="15.75">
      <c r="A36" s="1">
        <v>40.5</v>
      </c>
      <c r="B36" s="1">
        <v>55</v>
      </c>
      <c r="C36" s="4">
        <v>17</v>
      </c>
      <c r="D36" s="1">
        <f t="shared" si="3"/>
        <v>72</v>
      </c>
      <c r="E36" s="4">
        <f t="shared" si="0"/>
        <v>0.7638888888888888</v>
      </c>
      <c r="F36" s="4">
        <f t="shared" si="1"/>
        <v>0.7262656738655279</v>
      </c>
      <c r="G36" s="9"/>
      <c r="H36" s="4">
        <f t="shared" si="5"/>
        <v>0.08454688176705885</v>
      </c>
      <c r="I36" s="4">
        <f t="shared" si="2"/>
        <v>-2.4704490846599407</v>
      </c>
      <c r="J36" s="1"/>
    </row>
    <row r="37" spans="1:10" ht="15.75">
      <c r="A37" s="1">
        <v>41.5</v>
      </c>
      <c r="B37" s="1">
        <v>42</v>
      </c>
      <c r="C37" s="4">
        <v>8</v>
      </c>
      <c r="D37" s="1">
        <f t="shared" si="3"/>
        <v>50</v>
      </c>
      <c r="E37" s="4">
        <f t="shared" si="0"/>
        <v>0.84</v>
      </c>
      <c r="F37" s="4">
        <f t="shared" si="1"/>
        <v>0.7722231308598994</v>
      </c>
      <c r="G37" s="1"/>
      <c r="H37" s="4">
        <f aca="true" t="shared" si="6" ref="H37:H45">COMBIN(D37,B37)*(F37^B37)*((1-F37)^C37)</f>
        <v>0.07501548921555341</v>
      </c>
      <c r="I37" s="4">
        <f t="shared" si="2"/>
        <v>-2.590060663894694</v>
      </c>
      <c r="J37" s="1"/>
    </row>
    <row r="38" spans="1:10" ht="15.75">
      <c r="A38" s="1">
        <v>42.5</v>
      </c>
      <c r="B38" s="1">
        <v>26</v>
      </c>
      <c r="C38" s="4">
        <v>1</v>
      </c>
      <c r="D38" s="1">
        <f t="shared" si="3"/>
        <v>27</v>
      </c>
      <c r="E38" s="4">
        <f t="shared" si="0"/>
        <v>0.9629629629629629</v>
      </c>
      <c r="F38" s="4">
        <f t="shared" si="1"/>
        <v>0.812457207329677</v>
      </c>
      <c r="G38" s="1"/>
      <c r="H38" s="4">
        <f t="shared" si="6"/>
        <v>0.022870572195540298</v>
      </c>
      <c r="I38" s="4">
        <f t="shared" si="2"/>
        <v>-3.7779042517789994</v>
      </c>
      <c r="J38" s="1"/>
    </row>
    <row r="39" spans="1:10" ht="15.75">
      <c r="A39" s="1">
        <v>43.5</v>
      </c>
      <c r="B39" s="1">
        <v>18</v>
      </c>
      <c r="C39" s="1">
        <v>2</v>
      </c>
      <c r="D39" s="1">
        <f t="shared" si="3"/>
        <v>20</v>
      </c>
      <c r="E39" s="4">
        <f t="shared" si="0"/>
        <v>0.9</v>
      </c>
      <c r="F39" s="4">
        <f t="shared" si="1"/>
        <v>0.8469925600909741</v>
      </c>
      <c r="G39" s="1"/>
      <c r="H39" s="4">
        <f t="shared" si="6"/>
        <v>0.22387799977676964</v>
      </c>
      <c r="I39" s="4">
        <f t="shared" si="2"/>
        <v>-1.4966540193531437</v>
      </c>
      <c r="J39" s="1"/>
    </row>
    <row r="40" spans="1:10" ht="15.75">
      <c r="A40" s="1">
        <v>44.5</v>
      </c>
      <c r="B40" s="1">
        <v>22</v>
      </c>
      <c r="C40" s="1">
        <v>2</v>
      </c>
      <c r="D40" s="1">
        <f t="shared" si="3"/>
        <v>24</v>
      </c>
      <c r="E40" s="4">
        <f t="shared" si="0"/>
        <v>0.9166666666666666</v>
      </c>
      <c r="F40" s="4">
        <f t="shared" si="1"/>
        <v>0.8761378870650874</v>
      </c>
      <c r="G40" s="1"/>
      <c r="H40" s="4">
        <f t="shared" si="6"/>
        <v>0.23087674650703482</v>
      </c>
      <c r="I40" s="4">
        <f t="shared" si="2"/>
        <v>-1.4658712757613626</v>
      </c>
      <c r="J40" s="1"/>
    </row>
    <row r="41" spans="1:10" ht="15.75">
      <c r="A41" s="1">
        <v>45.5</v>
      </c>
      <c r="B41" s="1">
        <v>6</v>
      </c>
      <c r="C41" s="1">
        <v>0</v>
      </c>
      <c r="D41" s="1">
        <f t="shared" si="3"/>
        <v>6</v>
      </c>
      <c r="E41" s="4">
        <f t="shared" si="0"/>
        <v>1</v>
      </c>
      <c r="F41" s="4">
        <f t="shared" si="1"/>
        <v>0.9003844619573556</v>
      </c>
      <c r="G41" s="1"/>
      <c r="H41" s="4">
        <f t="shared" si="6"/>
        <v>0.5328045811579303</v>
      </c>
      <c r="I41" s="4">
        <f t="shared" si="2"/>
        <v>-0.6296005615235339</v>
      </c>
      <c r="J41" s="1"/>
    </row>
    <row r="42" spans="1:10" ht="15.75">
      <c r="A42" s="1">
        <v>46.5</v>
      </c>
      <c r="B42" s="1">
        <v>6</v>
      </c>
      <c r="C42" s="1">
        <v>0</v>
      </c>
      <c r="D42" s="1">
        <f t="shared" si="3"/>
        <v>6</v>
      </c>
      <c r="E42" s="4">
        <f t="shared" si="0"/>
        <v>1</v>
      </c>
      <c r="F42" s="4">
        <f t="shared" si="1"/>
        <v>0.9203163361957979</v>
      </c>
      <c r="G42" s="1"/>
      <c r="H42" s="4">
        <f t="shared" si="6"/>
        <v>0.6076070252142257</v>
      </c>
      <c r="I42" s="4">
        <f t="shared" si="2"/>
        <v>-0.4982269460919669</v>
      </c>
      <c r="J42" s="1"/>
    </row>
    <row r="43" spans="1:10" ht="15.75">
      <c r="A43" s="1">
        <v>47.5</v>
      </c>
      <c r="B43" s="1">
        <v>8</v>
      </c>
      <c r="C43" s="1">
        <v>0</v>
      </c>
      <c r="D43" s="1">
        <f t="shared" si="3"/>
        <v>8</v>
      </c>
      <c r="E43" s="4">
        <f t="shared" si="0"/>
        <v>1</v>
      </c>
      <c r="F43" s="4">
        <f t="shared" si="1"/>
        <v>0.9365411636630867</v>
      </c>
      <c r="G43" s="1"/>
      <c r="H43" s="4">
        <f t="shared" si="6"/>
        <v>0.5918545148914721</v>
      </c>
      <c r="I43" s="4">
        <f t="shared" si="2"/>
        <v>-0.5244944261725843</v>
      </c>
      <c r="J43" s="1"/>
    </row>
    <row r="44" spans="1:10" ht="15.75">
      <c r="A44" s="1">
        <v>48.5</v>
      </c>
      <c r="B44" s="1">
        <v>3</v>
      </c>
      <c r="C44" s="1">
        <v>0</v>
      </c>
      <c r="D44" s="1">
        <f t="shared" si="3"/>
        <v>3</v>
      </c>
      <c r="E44" s="4">
        <f t="shared" si="0"/>
        <v>1</v>
      </c>
      <c r="F44" s="4">
        <f t="shared" si="1"/>
        <v>0.9496431293196859</v>
      </c>
      <c r="G44" s="1"/>
      <c r="H44" s="4">
        <f t="shared" si="6"/>
        <v>0.8564091355541447</v>
      </c>
      <c r="I44" s="4">
        <f t="shared" si="2"/>
        <v>-0.15500705493193073</v>
      </c>
      <c r="J44" s="1"/>
    </row>
    <row r="45" spans="1:10" ht="15.75">
      <c r="A45" s="1">
        <v>49.5</v>
      </c>
      <c r="B45" s="1">
        <v>0</v>
      </c>
      <c r="C45" s="1">
        <v>0</v>
      </c>
      <c r="D45" s="1">
        <f t="shared" si="3"/>
        <v>0</v>
      </c>
      <c r="E45" s="4" t="e">
        <f t="shared" si="0"/>
        <v>#DIV/0!</v>
      </c>
      <c r="F45" s="4">
        <f t="shared" si="1"/>
        <v>0.960155097756973</v>
      </c>
      <c r="G45" s="1"/>
      <c r="H45" s="4">
        <f t="shared" si="6"/>
        <v>1</v>
      </c>
      <c r="I45" s="4">
        <f t="shared" si="2"/>
        <v>0</v>
      </c>
      <c r="J45" s="1"/>
    </row>
    <row r="46" spans="1:10" ht="15.75">
      <c r="A46" s="1">
        <v>50.5</v>
      </c>
      <c r="B46" s="1">
        <v>8</v>
      </c>
      <c r="C46" s="1">
        <v>0</v>
      </c>
      <c r="D46" s="1">
        <f t="shared" si="3"/>
        <v>8</v>
      </c>
      <c r="E46" s="4">
        <f t="shared" si="0"/>
        <v>1</v>
      </c>
      <c r="F46" s="4">
        <f t="shared" si="1"/>
        <v>0.9685453817788281</v>
      </c>
      <c r="G46" s="1"/>
      <c r="H46" s="4">
        <f aca="true" t="shared" si="7" ref="H46:H51">COMBIN(D46,B46)*(F46^B46)*((1-F46)^C46)</f>
        <v>0.7743901090800859</v>
      </c>
      <c r="I46" s="4">
        <f t="shared" si="2"/>
        <v>-0.25567951546692874</v>
      </c>
      <c r="J46" s="1"/>
    </row>
    <row r="47" spans="1:10" ht="15.75">
      <c r="A47" s="1">
        <v>51.5</v>
      </c>
      <c r="B47" s="1">
        <v>4</v>
      </c>
      <c r="C47" s="1">
        <v>0</v>
      </c>
      <c r="D47" s="1">
        <f t="shared" si="3"/>
        <v>4</v>
      </c>
      <c r="E47" s="4">
        <f t="shared" si="0"/>
        <v>1</v>
      </c>
      <c r="F47" s="4">
        <f t="shared" si="1"/>
        <v>0.9752145011506335</v>
      </c>
      <c r="G47" s="1"/>
      <c r="H47" s="4">
        <f t="shared" si="7"/>
        <v>0.9044834027069231</v>
      </c>
      <c r="I47" s="4">
        <f t="shared" si="2"/>
        <v>-0.1003913240034554</v>
      </c>
      <c r="J47" s="1"/>
    </row>
    <row r="48" spans="1:10" ht="15.75">
      <c r="A48" s="1">
        <v>52.5</v>
      </c>
      <c r="B48" s="1">
        <v>3</v>
      </c>
      <c r="C48" s="1">
        <v>0</v>
      </c>
      <c r="D48" s="1">
        <f t="shared" si="3"/>
        <v>3</v>
      </c>
      <c r="E48" s="4">
        <f t="shared" si="0"/>
        <v>1</v>
      </c>
      <c r="F48" s="4">
        <f t="shared" si="1"/>
        <v>0.9804980817247049</v>
      </c>
      <c r="G48" s="1"/>
      <c r="H48" s="4">
        <f t="shared" si="7"/>
        <v>0.9426278025598757</v>
      </c>
      <c r="I48" s="4">
        <f t="shared" si="2"/>
        <v>-0.05908376931973231</v>
      </c>
      <c r="J48" s="1"/>
    </row>
    <row r="49" spans="1:10" ht="15.75">
      <c r="A49" s="1">
        <v>53.5</v>
      </c>
      <c r="B49" s="1">
        <v>0</v>
      </c>
      <c r="C49" s="1">
        <v>0</v>
      </c>
      <c r="D49" s="1">
        <f t="shared" si="3"/>
        <v>0</v>
      </c>
      <c r="E49" s="4" t="e">
        <f t="shared" si="0"/>
        <v>#DIV/0!</v>
      </c>
      <c r="F49" s="4">
        <f t="shared" si="1"/>
        <v>0.9846730512191952</v>
      </c>
      <c r="G49" s="1"/>
      <c r="H49" s="4">
        <f t="shared" si="7"/>
        <v>1</v>
      </c>
      <c r="I49" s="4">
        <f t="shared" si="2"/>
        <v>0</v>
      </c>
      <c r="J49" s="1"/>
    </row>
    <row r="50" spans="1:10" ht="15.75">
      <c r="A50" s="1">
        <v>54.5</v>
      </c>
      <c r="B50" s="1">
        <v>2</v>
      </c>
      <c r="C50" s="1">
        <v>0</v>
      </c>
      <c r="D50" s="1">
        <f t="shared" si="3"/>
        <v>2</v>
      </c>
      <c r="E50" s="4">
        <f t="shared" si="0"/>
        <v>1</v>
      </c>
      <c r="F50" s="4">
        <f t="shared" si="1"/>
        <v>0.9879652138555238</v>
      </c>
      <c r="G50" s="1"/>
      <c r="H50" s="4">
        <f t="shared" si="7"/>
        <v>0.9760752637885909</v>
      </c>
      <c r="I50" s="4">
        <f t="shared" si="2"/>
        <v>-0.024215581004727</v>
      </c>
      <c r="J50" s="1"/>
    </row>
    <row r="51" spans="1:10" ht="15.75">
      <c r="A51" s="1">
        <v>55.5</v>
      </c>
      <c r="B51" s="1">
        <v>13</v>
      </c>
      <c r="C51" s="1">
        <v>0</v>
      </c>
      <c r="D51" s="1">
        <f t="shared" si="3"/>
        <v>13</v>
      </c>
      <c r="E51" s="4">
        <f t="shared" si="0"/>
        <v>1</v>
      </c>
      <c r="F51" s="4">
        <f t="shared" si="1"/>
        <v>0.9905570155995072</v>
      </c>
      <c r="G51" s="1"/>
      <c r="H51" s="4">
        <f t="shared" si="7"/>
        <v>0.8839612282543383</v>
      </c>
      <c r="I51" s="4">
        <f t="shared" si="2"/>
        <v>-0.12334207674714077</v>
      </c>
      <c r="J51" s="1"/>
    </row>
    <row r="52" spans="1:10" ht="15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.75">
      <c r="A53" s="22" t="s">
        <v>25</v>
      </c>
      <c r="B53" s="16"/>
      <c r="C53" s="16"/>
      <c r="D53" s="16"/>
      <c r="E53" s="16"/>
      <c r="F53" s="16"/>
      <c r="G53" s="1"/>
      <c r="H53" s="1"/>
      <c r="I53" s="1"/>
      <c r="J53" s="1"/>
    </row>
    <row r="54" spans="1:10" ht="15.75">
      <c r="A54" s="23" t="s">
        <v>26</v>
      </c>
      <c r="B54" s="16"/>
      <c r="C54" s="16"/>
      <c r="D54" s="16"/>
      <c r="E54" s="16"/>
      <c r="F54" s="16"/>
      <c r="G54" s="1"/>
      <c r="H54" s="1"/>
      <c r="I54" s="1"/>
      <c r="J54" s="1"/>
    </row>
    <row r="55" spans="2:10" ht="15.75">
      <c r="B55" s="1"/>
      <c r="C55" s="1"/>
      <c r="D55" s="1"/>
      <c r="E55" s="1"/>
      <c r="F55" s="1"/>
      <c r="G55" s="1"/>
      <c r="H55" s="1"/>
      <c r="I55" s="1"/>
      <c r="J55" s="1"/>
    </row>
    <row r="56" spans="1:10" ht="15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.7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5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5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5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5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5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5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.7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.7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.7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5.7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.7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5.7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5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5.7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5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5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5.7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5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5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5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5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5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5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5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5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5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5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5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5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5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5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5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5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5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5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5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5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5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5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5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5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5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5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5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</sheetData>
  <printOptions gridLines="1" headings="1"/>
  <pageMargins left="0.5118110236220472" right="0.5118110236220472" top="0.5118110236220472" bottom="0.5118110236220472" header="0.5118110236220472" footer="0.5118110236220472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307"/>
  <sheetViews>
    <sheetView tabSelected="1" defaultGridColor="0" zoomScale="75" zoomScaleNormal="75" colorId="22" workbookViewId="0" topLeftCell="A1">
      <selection activeCell="F9" sqref="F9"/>
    </sheetView>
  </sheetViews>
  <sheetFormatPr defaultColWidth="10.59765625" defaultRowHeight="15"/>
  <cols>
    <col min="1" max="4" width="10.59765625" style="0" customWidth="1"/>
    <col min="5" max="5" width="15.19921875" style="0" customWidth="1"/>
    <col min="6" max="6" width="10.59765625" style="0" customWidth="1"/>
    <col min="7" max="7" width="12.09765625" style="0" customWidth="1"/>
    <col min="8" max="9" width="13.19921875" style="0" customWidth="1"/>
    <col min="10" max="11" width="10.59765625" style="0" customWidth="1"/>
  </cols>
  <sheetData>
    <row r="1" spans="1:10" ht="20.25">
      <c r="A1" s="12" t="s">
        <v>27</v>
      </c>
      <c r="B1" s="1"/>
      <c r="C1" s="1"/>
      <c r="D1" s="1"/>
      <c r="E1" s="1"/>
      <c r="F1" s="1"/>
      <c r="G1" s="1"/>
      <c r="H1" s="1"/>
      <c r="I1" s="1"/>
      <c r="J1" s="1"/>
    </row>
    <row r="2" spans="2:10" ht="27.75">
      <c r="B2" s="12" t="s">
        <v>28</v>
      </c>
      <c r="C2" s="1"/>
      <c r="D2" s="1"/>
      <c r="G2" s="1"/>
      <c r="H2" s="2"/>
      <c r="I2" s="1"/>
      <c r="J2" s="1"/>
    </row>
    <row r="3" spans="1:10" ht="16.5" thickBot="1">
      <c r="A3" s="1"/>
      <c r="B3" s="1"/>
      <c r="C3" s="1"/>
      <c r="D3" s="1"/>
      <c r="E3" s="1" t="s">
        <v>2</v>
      </c>
      <c r="F3" s="1"/>
      <c r="G3" s="1"/>
      <c r="H3" s="1" t="s">
        <v>3</v>
      </c>
      <c r="I3" s="2" t="s">
        <v>4</v>
      </c>
      <c r="J3" s="1"/>
    </row>
    <row r="4" spans="1:10" ht="16.5" thickTop="1">
      <c r="A4" s="1"/>
      <c r="B4" s="1"/>
      <c r="C4" s="1"/>
      <c r="D4" s="1"/>
      <c r="E4" s="3" t="s">
        <v>5</v>
      </c>
      <c r="F4" s="10">
        <v>-25.664773523894826</v>
      </c>
      <c r="G4" s="1"/>
      <c r="H4" s="4">
        <f>-J4*H5</f>
        <v>-7.690286020676768</v>
      </c>
      <c r="I4" s="3" t="s">
        <v>6</v>
      </c>
      <c r="J4" s="5">
        <v>35</v>
      </c>
    </row>
    <row r="5" spans="1:10" ht="15.75">
      <c r="A5" s="1"/>
      <c r="B5" s="1"/>
      <c r="C5" s="1"/>
      <c r="D5" s="1"/>
      <c r="E5" s="3" t="s">
        <v>7</v>
      </c>
      <c r="F5" s="14">
        <v>0.6199736974149377</v>
      </c>
      <c r="G5" s="1"/>
      <c r="H5" s="4">
        <f>2*LN(3)/J5</f>
        <v>0.21972245773362195</v>
      </c>
      <c r="I5" s="3" t="s">
        <v>8</v>
      </c>
      <c r="J5" s="5">
        <v>10</v>
      </c>
    </row>
    <row r="6" spans="2:10" ht="16.5" thickBot="1">
      <c r="B6" s="21"/>
      <c r="C6" s="21"/>
      <c r="D6" s="21"/>
      <c r="E6" s="3" t="s">
        <v>29</v>
      </c>
      <c r="F6" s="13">
        <v>3.6826094286534805</v>
      </c>
      <c r="G6" s="1"/>
      <c r="H6" s="5"/>
      <c r="I6" s="1"/>
      <c r="J6" s="1" t="s">
        <v>9</v>
      </c>
    </row>
    <row r="7" spans="1:10" ht="20.25" customHeight="1" thickBot="1" thickTop="1">
      <c r="A7" s="21"/>
      <c r="B7" s="21"/>
      <c r="C7" s="21"/>
      <c r="D7" s="21"/>
      <c r="E7" s="1"/>
      <c r="F7" s="1"/>
      <c r="G7" s="1"/>
      <c r="H7" s="1" t="s">
        <v>10</v>
      </c>
      <c r="I7" s="1"/>
      <c r="J7" s="1" t="s">
        <v>11</v>
      </c>
    </row>
    <row r="8" spans="1:10" ht="17.25" thickBot="1" thickTop="1">
      <c r="A8" s="21"/>
      <c r="B8" s="21"/>
      <c r="C8" s="21"/>
      <c r="D8" s="21"/>
      <c r="E8" s="3" t="s">
        <v>6</v>
      </c>
      <c r="F8" s="1">
        <f>(LN(0.5^$F6/(1-0.5^$F6))-$F4)/$F5</f>
        <v>37.41007534937874</v>
      </c>
      <c r="G8" s="1"/>
      <c r="H8" s="6">
        <f>SUM(I14:I51)</f>
        <v>-54.38501801506784</v>
      </c>
      <c r="I8" s="1"/>
      <c r="J8" s="1">
        <f>-2*H8+2*3</f>
        <v>114.77003603013569</v>
      </c>
    </row>
    <row r="9" spans="1:10" ht="16.5" thickTop="1">
      <c r="A9" s="21"/>
      <c r="B9" s="21"/>
      <c r="C9" s="21"/>
      <c r="D9" s="21"/>
      <c r="E9" s="3" t="s">
        <v>12</v>
      </c>
      <c r="F9" s="7">
        <f>(LN(0.75^$F6/(1-0.75^$F6))-LN(0.25^$F6/(1-0.25^$F6)))/$F5</f>
        <v>7.202448483593989</v>
      </c>
      <c r="G9" s="1"/>
      <c r="H9" s="8"/>
      <c r="I9" s="1"/>
      <c r="J9" s="1"/>
    </row>
    <row r="10" spans="7:10" ht="15.75">
      <c r="G10" s="1"/>
      <c r="H10" s="8"/>
      <c r="I10" s="1"/>
      <c r="J10" s="1"/>
    </row>
    <row r="11" spans="7:10" ht="15.75">
      <c r="G11" s="1"/>
      <c r="H11" s="8"/>
      <c r="I11" s="7"/>
      <c r="J11" s="1"/>
    </row>
    <row r="12" spans="1:10" ht="15.75">
      <c r="A12" s="1"/>
      <c r="B12" s="1" t="s">
        <v>13</v>
      </c>
      <c r="C12" s="1"/>
      <c r="D12" s="1"/>
      <c r="E12" s="1" t="s">
        <v>14</v>
      </c>
      <c r="F12" s="5" t="s">
        <v>15</v>
      </c>
      <c r="G12" s="1"/>
      <c r="H12" s="1" t="s">
        <v>16</v>
      </c>
      <c r="I12" s="1" t="s">
        <v>17</v>
      </c>
      <c r="J12" s="1"/>
    </row>
    <row r="13" spans="1:10" ht="15.75">
      <c r="A13" s="1" t="s">
        <v>18</v>
      </c>
      <c r="B13" s="1" t="s">
        <v>19</v>
      </c>
      <c r="C13" s="1" t="s">
        <v>20</v>
      </c>
      <c r="D13" s="1" t="s">
        <v>21</v>
      </c>
      <c r="E13" s="1" t="s">
        <v>22</v>
      </c>
      <c r="F13" s="1" t="s">
        <v>23</v>
      </c>
      <c r="G13" s="1"/>
      <c r="H13" s="1" t="s">
        <v>24</v>
      </c>
      <c r="J13" s="1"/>
    </row>
    <row r="14" spans="1:10" ht="15.75">
      <c r="A14" s="1">
        <f>+'Logistic curve'!A14</f>
        <v>18.5</v>
      </c>
      <c r="B14" s="1">
        <f>+'Logistic curve'!B14</f>
        <v>0</v>
      </c>
      <c r="C14" s="1">
        <f>+'Logistic curve'!C14</f>
        <v>0</v>
      </c>
      <c r="D14" s="1">
        <f aca="true" t="shared" si="0" ref="D14:D51">+C14+B14</f>
        <v>0</v>
      </c>
      <c r="E14" s="4" t="e">
        <f aca="true" t="shared" si="1" ref="E14:E51">+B14/(C14+B14)</f>
        <v>#DIV/0!</v>
      </c>
      <c r="F14" s="4">
        <f>(EXP($F$4+$F$5*A14)/(1+EXP($F$4+$F$5*A14)))^(1/$F$6)</f>
        <v>0.021180495590520165</v>
      </c>
      <c r="G14" s="4"/>
      <c r="H14" s="4">
        <f aca="true" t="shared" si="2" ref="H14:H51">COMBIN(D14,B14)*(F14^B14)*((1-F14)^C14)</f>
        <v>1</v>
      </c>
      <c r="I14" s="4">
        <f aca="true" t="shared" si="3" ref="I14:I51">LN(H14)</f>
        <v>0</v>
      </c>
      <c r="J14" s="1"/>
    </row>
    <row r="15" spans="1:10" ht="15.75">
      <c r="A15" s="1">
        <f>+'Logistic curve'!A15</f>
        <v>19.5</v>
      </c>
      <c r="B15" s="1">
        <f>+'Logistic curve'!B15</f>
        <v>1</v>
      </c>
      <c r="C15" s="1">
        <f>+'Logistic curve'!C15</f>
        <v>4</v>
      </c>
      <c r="D15" s="1">
        <f t="shared" si="0"/>
        <v>5</v>
      </c>
      <c r="E15" s="4">
        <f t="shared" si="1"/>
        <v>0.2</v>
      </c>
      <c r="F15" s="4">
        <f aca="true" t="shared" si="4" ref="F15:F51">(EXP($F$4+$F$5*A15)/(1+EXP($F$4+$F$5*A15)))^(1/$F$6)</f>
        <v>0.02506399407555272</v>
      </c>
      <c r="G15" s="4"/>
      <c r="H15" s="4">
        <f t="shared" si="2"/>
        <v>0.11322040994229528</v>
      </c>
      <c r="I15" s="4">
        <f t="shared" si="3"/>
        <v>-2.17841882962152</v>
      </c>
      <c r="J15" s="1"/>
    </row>
    <row r="16" spans="1:10" ht="15.75">
      <c r="A16" s="1">
        <f>+'Logistic curve'!A16</f>
        <v>20.5</v>
      </c>
      <c r="B16" s="1">
        <f>+'Logistic curve'!B16</f>
        <v>1</v>
      </c>
      <c r="C16" s="1">
        <f>+'Logistic curve'!C16</f>
        <v>25</v>
      </c>
      <c r="D16" s="1">
        <f t="shared" si="0"/>
        <v>26</v>
      </c>
      <c r="E16" s="4">
        <f t="shared" si="1"/>
        <v>0.038461538461538464</v>
      </c>
      <c r="F16" s="4">
        <f t="shared" si="4"/>
        <v>0.029659537958309296</v>
      </c>
      <c r="G16" s="4"/>
      <c r="H16" s="4">
        <f t="shared" si="2"/>
        <v>0.3632798103938709</v>
      </c>
      <c r="I16" s="4">
        <f t="shared" si="3"/>
        <v>-1.0125819141209222</v>
      </c>
      <c r="J16" s="1"/>
    </row>
    <row r="17" spans="1:10" ht="15.75">
      <c r="A17" s="1">
        <f>+'Logistic curve'!A17</f>
        <v>21.5</v>
      </c>
      <c r="B17" s="1">
        <f>+'Logistic curve'!B17</f>
        <v>2</v>
      </c>
      <c r="C17" s="1">
        <f>+'Logistic curve'!C17</f>
        <v>69</v>
      </c>
      <c r="D17" s="1">
        <f t="shared" si="0"/>
        <v>71</v>
      </c>
      <c r="E17" s="4">
        <f t="shared" si="1"/>
        <v>0.028169014084507043</v>
      </c>
      <c r="F17" s="4">
        <f t="shared" si="4"/>
        <v>0.03509767697795457</v>
      </c>
      <c r="G17" s="4"/>
      <c r="H17" s="4">
        <f t="shared" si="2"/>
        <v>0.2601563463341099</v>
      </c>
      <c r="I17" s="4">
        <f t="shared" si="3"/>
        <v>-1.3464724966400123</v>
      </c>
      <c r="J17" s="1"/>
    </row>
    <row r="18" spans="1:10" ht="15.75">
      <c r="A18" s="1">
        <f>+'Logistic curve'!A18</f>
        <v>22.5</v>
      </c>
      <c r="B18" s="1">
        <f>+'Logistic curve'!B18</f>
        <v>10</v>
      </c>
      <c r="C18" s="1">
        <f>+'Logistic curve'!C18</f>
        <v>151</v>
      </c>
      <c r="D18" s="1">
        <f t="shared" si="0"/>
        <v>161</v>
      </c>
      <c r="E18" s="4">
        <f t="shared" si="1"/>
        <v>0.062111801242236024</v>
      </c>
      <c r="F18" s="4">
        <f t="shared" si="4"/>
        <v>0.0415328906252714</v>
      </c>
      <c r="G18" s="4"/>
      <c r="H18" s="4">
        <f t="shared" si="2"/>
        <v>0.06119693421427901</v>
      </c>
      <c r="I18" s="4">
        <f t="shared" si="3"/>
        <v>-2.7936581852565547</v>
      </c>
      <c r="J18" s="1"/>
    </row>
    <row r="19" spans="1:10" ht="15.75">
      <c r="A19" s="1">
        <f>+'Logistic curve'!A19</f>
        <v>23.5</v>
      </c>
      <c r="B19" s="1">
        <f>+'Logistic curve'!B19</f>
        <v>13</v>
      </c>
      <c r="C19" s="1">
        <f>+'Logistic curve'!C19</f>
        <v>190</v>
      </c>
      <c r="D19" s="1">
        <f t="shared" si="0"/>
        <v>203</v>
      </c>
      <c r="E19" s="4">
        <f t="shared" si="1"/>
        <v>0.06403940886699508</v>
      </c>
      <c r="F19" s="4">
        <f t="shared" si="4"/>
        <v>0.049147967445901004</v>
      </c>
      <c r="G19" s="4"/>
      <c r="H19" s="4">
        <f t="shared" si="2"/>
        <v>0.07307901824670346</v>
      </c>
      <c r="I19" s="4">
        <f t="shared" si="3"/>
        <v>-2.616213981515722</v>
      </c>
      <c r="J19" s="1"/>
    </row>
    <row r="20" spans="1:10" ht="15.75">
      <c r="A20" s="1">
        <f>+'Logistic curve'!A20</f>
        <v>24.5</v>
      </c>
      <c r="B20" s="1">
        <f>+'Logistic curve'!B20</f>
        <v>10</v>
      </c>
      <c r="C20" s="1">
        <f>+'Logistic curve'!C20</f>
        <v>192</v>
      </c>
      <c r="D20" s="1">
        <f t="shared" si="0"/>
        <v>202</v>
      </c>
      <c r="E20" s="4">
        <f t="shared" si="1"/>
        <v>0.04950495049504951</v>
      </c>
      <c r="F20" s="4">
        <f t="shared" si="4"/>
        <v>0.058159177364677385</v>
      </c>
      <c r="G20" s="4"/>
      <c r="H20" s="4">
        <f t="shared" si="2"/>
        <v>0.11099748510466548</v>
      </c>
      <c r="I20" s="4">
        <f t="shared" si="3"/>
        <v>-2.1982477346411957</v>
      </c>
      <c r="J20" s="1"/>
    </row>
    <row r="21" spans="1:10" ht="15.75">
      <c r="A21" s="1">
        <f>+'Logistic curve'!A21</f>
        <v>25.5</v>
      </c>
      <c r="B21" s="1">
        <f>+'Logistic curve'!B21</f>
        <v>14</v>
      </c>
      <c r="C21" s="1">
        <f>+'Logistic curve'!C21</f>
        <v>146</v>
      </c>
      <c r="D21" s="1">
        <f t="shared" si="0"/>
        <v>160</v>
      </c>
      <c r="E21" s="4">
        <f t="shared" si="1"/>
        <v>0.0875</v>
      </c>
      <c r="F21" s="4">
        <f t="shared" si="4"/>
        <v>0.06882237051566333</v>
      </c>
      <c r="G21" s="4"/>
      <c r="H21" s="4">
        <f t="shared" si="2"/>
        <v>0.07412689352456792</v>
      </c>
      <c r="I21" s="4">
        <f t="shared" si="3"/>
        <v>-2.60197687697105</v>
      </c>
      <c r="J21" s="1"/>
    </row>
    <row r="22" spans="1:10" ht="15.75">
      <c r="A22" s="1">
        <f>+'Logistic curve'!A22</f>
        <v>26.5</v>
      </c>
      <c r="B22" s="1">
        <f>+'Logistic curve'!B22</f>
        <v>7</v>
      </c>
      <c r="C22" s="1">
        <f>+'Logistic curve'!C22</f>
        <v>102</v>
      </c>
      <c r="D22" s="1">
        <f t="shared" si="0"/>
        <v>109</v>
      </c>
      <c r="E22" s="4">
        <f t="shared" si="1"/>
        <v>0.06422018348623854</v>
      </c>
      <c r="F22" s="4">
        <f t="shared" si="4"/>
        <v>0.0814401462472789</v>
      </c>
      <c r="G22" s="4"/>
      <c r="H22" s="4">
        <f t="shared" si="2"/>
        <v>0.12217996481845388</v>
      </c>
      <c r="I22" s="4">
        <f t="shared" si="3"/>
        <v>-2.1022601997090447</v>
      </c>
      <c r="J22" s="1"/>
    </row>
    <row r="23" spans="1:10" ht="15.75">
      <c r="A23" s="1">
        <f>+'Logistic curve'!A23</f>
        <v>27.5</v>
      </c>
      <c r="B23" s="1">
        <f>+'Logistic curve'!B23</f>
        <v>1</v>
      </c>
      <c r="C23" s="1">
        <f>+'Logistic curve'!C23</f>
        <v>62</v>
      </c>
      <c r="D23" s="1">
        <f t="shared" si="0"/>
        <v>63</v>
      </c>
      <c r="E23" s="4">
        <f t="shared" si="1"/>
        <v>0.015873015873015872</v>
      </c>
      <c r="F23" s="4">
        <f t="shared" si="4"/>
        <v>0.09637023090545077</v>
      </c>
      <c r="G23" s="4"/>
      <c r="H23" s="4">
        <f t="shared" si="2"/>
        <v>0.011342173834035562</v>
      </c>
      <c r="I23" s="4">
        <f t="shared" si="3"/>
        <v>-4.47922730293082</v>
      </c>
      <c r="J23" s="1"/>
    </row>
    <row r="24" spans="1:10" ht="15.75">
      <c r="A24" s="1">
        <f>+'Logistic curve'!A24</f>
        <v>28.5</v>
      </c>
      <c r="B24" s="1">
        <f>+'Logistic curve'!B24</f>
        <v>1</v>
      </c>
      <c r="C24" s="1">
        <f>+'Logistic curve'!C24</f>
        <v>24</v>
      </c>
      <c r="D24" s="1">
        <f t="shared" si="0"/>
        <v>25</v>
      </c>
      <c r="E24" s="4">
        <f t="shared" si="1"/>
        <v>0.04</v>
      </c>
      <c r="F24" s="4">
        <f t="shared" si="4"/>
        <v>0.11403515942398605</v>
      </c>
      <c r="G24" s="4"/>
      <c r="H24" s="4">
        <f t="shared" si="2"/>
        <v>0.15594608554264006</v>
      </c>
      <c r="I24" s="4">
        <f t="shared" si="3"/>
        <v>-1.85824493696384</v>
      </c>
      <c r="J24" s="1"/>
    </row>
    <row r="25" spans="1:10" ht="15.75">
      <c r="A25" s="1">
        <f>+'Logistic curve'!A25</f>
        <v>29.5</v>
      </c>
      <c r="B25" s="1">
        <f>+'Logistic curve'!B25</f>
        <v>0</v>
      </c>
      <c r="C25" s="1">
        <f>+'Logistic curve'!C25</f>
        <v>4</v>
      </c>
      <c r="D25" s="1">
        <f t="shared" si="0"/>
        <v>4</v>
      </c>
      <c r="E25" s="4">
        <f t="shared" si="1"/>
        <v>0</v>
      </c>
      <c r="F25" s="4">
        <f t="shared" si="4"/>
        <v>0.13493322184442044</v>
      </c>
      <c r="G25" s="4"/>
      <c r="H25" s="4">
        <f t="shared" si="2"/>
        <v>0.5600135498411742</v>
      </c>
      <c r="I25" s="4">
        <f t="shared" si="3"/>
        <v>-0.5797942994007101</v>
      </c>
      <c r="J25" s="1"/>
    </row>
    <row r="26" spans="1:10" ht="15.75">
      <c r="A26" s="1">
        <f>+'Logistic curve'!A26</f>
        <v>30.5</v>
      </c>
      <c r="B26" s="1">
        <f>+'Logistic curve'!B26</f>
        <v>1</v>
      </c>
      <c r="C26" s="1">
        <f>+'Logistic curve'!C26</f>
        <v>8</v>
      </c>
      <c r="D26" s="1">
        <f t="shared" si="0"/>
        <v>9</v>
      </c>
      <c r="E26" s="4">
        <f t="shared" si="1"/>
        <v>0.1111111111111111</v>
      </c>
      <c r="F26" s="4">
        <f t="shared" si="4"/>
        <v>0.1596502975912539</v>
      </c>
      <c r="G26" s="4"/>
      <c r="H26" s="4">
        <f t="shared" si="2"/>
        <v>0.3573490622266315</v>
      </c>
      <c r="I26" s="4">
        <f t="shared" si="3"/>
        <v>-1.0290422095629632</v>
      </c>
      <c r="J26" s="1"/>
    </row>
    <row r="27" spans="1:10" ht="15.75">
      <c r="A27" s="1">
        <f>+'Logistic curve'!A27</f>
        <v>31.5</v>
      </c>
      <c r="B27" s="1">
        <f>+'Logistic curve'!B27</f>
        <v>2</v>
      </c>
      <c r="C27" s="1">
        <f>+'Logistic curve'!C27</f>
        <v>12</v>
      </c>
      <c r="D27" s="1">
        <f t="shared" si="0"/>
        <v>14</v>
      </c>
      <c r="E27" s="4">
        <f t="shared" si="1"/>
        <v>0.14285714285714285</v>
      </c>
      <c r="F27" s="4">
        <f t="shared" si="4"/>
        <v>0.1888714096896292</v>
      </c>
      <c r="G27" s="4"/>
      <c r="H27" s="4">
        <f t="shared" si="2"/>
        <v>0.26329969125837205</v>
      </c>
      <c r="I27" s="4">
        <f t="shared" si="3"/>
        <v>-1.334462385065551</v>
      </c>
      <c r="J27" s="1"/>
    </row>
    <row r="28" spans="1:10" ht="15.75">
      <c r="A28" s="1">
        <f>+'Logistic curve'!A28</f>
        <v>32.5</v>
      </c>
      <c r="B28" s="1">
        <f>+'Logistic curve'!B28</f>
        <v>5</v>
      </c>
      <c r="C28" s="1">
        <f>+'Logistic curve'!C28</f>
        <v>19</v>
      </c>
      <c r="D28" s="1">
        <f t="shared" si="0"/>
        <v>24</v>
      </c>
      <c r="E28" s="4">
        <f t="shared" si="1"/>
        <v>0.20833333333333334</v>
      </c>
      <c r="F28" s="4">
        <f t="shared" si="4"/>
        <v>0.22338905832737216</v>
      </c>
      <c r="G28" s="4"/>
      <c r="H28" s="4">
        <f t="shared" si="2"/>
        <v>0.19391253571412914</v>
      </c>
      <c r="I28" s="4">
        <f t="shared" si="3"/>
        <v>-1.6403480684151859</v>
      </c>
      <c r="J28" s="1"/>
    </row>
    <row r="29" spans="1:10" ht="15.75">
      <c r="A29" s="1">
        <f>+'Logistic curve'!A29</f>
        <v>33.5</v>
      </c>
      <c r="B29" s="1">
        <f>+'Logistic curve'!B29</f>
        <v>2</v>
      </c>
      <c r="C29" s="1">
        <f>+'Logistic curve'!C29</f>
        <v>16</v>
      </c>
      <c r="D29" s="1">
        <f t="shared" si="0"/>
        <v>18</v>
      </c>
      <c r="E29" s="4">
        <f t="shared" si="1"/>
        <v>0.1111111111111111</v>
      </c>
      <c r="F29" s="4">
        <f t="shared" si="4"/>
        <v>0.26410154000890623</v>
      </c>
      <c r="G29" s="4"/>
      <c r="H29" s="4">
        <f t="shared" si="2"/>
        <v>0.07894408645319578</v>
      </c>
      <c r="I29" s="4">
        <f t="shared" si="3"/>
        <v>-2.539015443515252</v>
      </c>
      <c r="J29" s="1"/>
    </row>
    <row r="30" spans="1:10" ht="15.75">
      <c r="A30" s="1">
        <f>+'Logistic curve'!A30</f>
        <v>34.5</v>
      </c>
      <c r="B30" s="1">
        <f>+'Logistic curve'!B30</f>
        <v>16</v>
      </c>
      <c r="C30" s="1">
        <f>+'Logistic curve'!C30</f>
        <v>27</v>
      </c>
      <c r="D30" s="1">
        <f t="shared" si="0"/>
        <v>43</v>
      </c>
      <c r="E30" s="4">
        <f t="shared" si="1"/>
        <v>0.37209302325581395</v>
      </c>
      <c r="F30" s="4">
        <f t="shared" si="4"/>
        <v>0.3119863808059803</v>
      </c>
      <c r="G30" s="4"/>
      <c r="H30" s="4">
        <f t="shared" si="2"/>
        <v>0.08807130123332885</v>
      </c>
      <c r="I30" s="4">
        <f t="shared" si="3"/>
        <v>-2.4296085512843772</v>
      </c>
      <c r="J30" s="1"/>
    </row>
    <row r="31" spans="1:10" ht="15.75">
      <c r="A31" s="1">
        <f>+'Logistic curve'!A31</f>
        <v>35.5</v>
      </c>
      <c r="B31" s="1">
        <f>+'Logistic curve'!B31</f>
        <v>18</v>
      </c>
      <c r="C31" s="1">
        <f>+'Logistic curve'!C31</f>
        <v>31</v>
      </c>
      <c r="D31" s="1">
        <f t="shared" si="0"/>
        <v>49</v>
      </c>
      <c r="E31" s="4">
        <f t="shared" si="1"/>
        <v>0.3673469387755102</v>
      </c>
      <c r="F31" s="4">
        <f t="shared" si="4"/>
        <v>0.36801804774013075</v>
      </c>
      <c r="G31" s="4"/>
      <c r="H31" s="4">
        <f t="shared" si="2"/>
        <v>0.11755230482505818</v>
      </c>
      <c r="I31" s="4">
        <f t="shared" si="3"/>
        <v>-2.1408718969993514</v>
      </c>
      <c r="J31" s="1"/>
    </row>
    <row r="32" spans="1:10" ht="15.75">
      <c r="A32" s="1">
        <f>+'Logistic curve'!A32</f>
        <v>36.5</v>
      </c>
      <c r="B32" s="1">
        <f>+'Logistic curve'!B32</f>
        <v>23</v>
      </c>
      <c r="C32" s="1">
        <f>+'Logistic curve'!C32</f>
        <v>37</v>
      </c>
      <c r="D32" s="1">
        <f t="shared" si="0"/>
        <v>60</v>
      </c>
      <c r="E32" s="4">
        <f t="shared" si="1"/>
        <v>0.38333333333333336</v>
      </c>
      <c r="F32" s="4">
        <f t="shared" si="4"/>
        <v>0.4329710724887315</v>
      </c>
      <c r="G32" s="1"/>
      <c r="H32" s="4">
        <f t="shared" si="2"/>
        <v>0.07778409254950723</v>
      </c>
      <c r="I32" s="4">
        <f t="shared" si="3"/>
        <v>-2.5538183346484393</v>
      </c>
      <c r="J32" s="1"/>
    </row>
    <row r="33" spans="1:10" ht="15.75">
      <c r="A33" s="1">
        <f>+'Logistic curve'!A33</f>
        <v>37.5</v>
      </c>
      <c r="B33" s="1">
        <f>+'Logistic curve'!B33</f>
        <v>36</v>
      </c>
      <c r="C33" s="1">
        <f>+'Logistic curve'!C33</f>
        <v>32</v>
      </c>
      <c r="D33" s="1">
        <f t="shared" si="0"/>
        <v>68</v>
      </c>
      <c r="E33" s="4">
        <f t="shared" si="1"/>
        <v>0.5294117647058824</v>
      </c>
      <c r="F33" s="4">
        <f t="shared" si="4"/>
        <v>0.5070133149667956</v>
      </c>
      <c r="G33" s="9"/>
      <c r="H33" s="4">
        <f t="shared" si="2"/>
        <v>0.09019328580817519</v>
      </c>
      <c r="I33" s="4">
        <f t="shared" si="3"/>
        <v>-2.40580029140057</v>
      </c>
      <c r="J33" s="1"/>
    </row>
    <row r="34" spans="1:10" ht="15.75">
      <c r="A34" s="1">
        <f>+'Logistic curve'!A34</f>
        <v>38.5</v>
      </c>
      <c r="B34" s="1">
        <f>+'Logistic curve'!B34</f>
        <v>57</v>
      </c>
      <c r="C34" s="1">
        <f>+'Logistic curve'!C34</f>
        <v>34</v>
      </c>
      <c r="D34" s="1">
        <f t="shared" si="0"/>
        <v>91</v>
      </c>
      <c r="E34" s="4">
        <f t="shared" si="1"/>
        <v>0.6263736263736264</v>
      </c>
      <c r="F34" s="4">
        <f t="shared" si="4"/>
        <v>0.5889919575481084</v>
      </c>
      <c r="G34" s="9"/>
      <c r="H34" s="4">
        <f t="shared" si="2"/>
        <v>0.06610185624603536</v>
      </c>
      <c r="I34" s="4">
        <f t="shared" si="3"/>
        <v>-2.716558450127947</v>
      </c>
      <c r="J34" s="1"/>
    </row>
    <row r="35" spans="1:10" ht="15.75">
      <c r="A35" s="1">
        <f>+'Logistic curve'!A35</f>
        <v>39.5</v>
      </c>
      <c r="B35" s="1">
        <f>+'Logistic curve'!B35</f>
        <v>46</v>
      </c>
      <c r="C35" s="1">
        <f>+'Logistic curve'!C35</f>
        <v>24</v>
      </c>
      <c r="D35" s="1">
        <f t="shared" si="0"/>
        <v>70</v>
      </c>
      <c r="E35" s="4">
        <f t="shared" si="1"/>
        <v>0.6571428571428571</v>
      </c>
      <c r="F35" s="4">
        <f t="shared" si="4"/>
        <v>0.6754907320252065</v>
      </c>
      <c r="G35" s="9"/>
      <c r="H35" s="4">
        <f t="shared" si="2"/>
        <v>0.09485764623120167</v>
      </c>
      <c r="I35" s="4">
        <f t="shared" si="3"/>
        <v>-2.3553779719208623</v>
      </c>
      <c r="J35" s="1"/>
    </row>
    <row r="36" spans="1:10" ht="15.75">
      <c r="A36" s="1">
        <f>+'Logistic curve'!A36</f>
        <v>40.5</v>
      </c>
      <c r="B36" s="1">
        <f>+'Logistic curve'!B36</f>
        <v>55</v>
      </c>
      <c r="C36" s="1">
        <f>+'Logistic curve'!C36</f>
        <v>17</v>
      </c>
      <c r="D36" s="1">
        <f t="shared" si="0"/>
        <v>72</v>
      </c>
      <c r="E36" s="4">
        <f t="shared" si="1"/>
        <v>0.7638888888888888</v>
      </c>
      <c r="F36" s="4">
        <f t="shared" si="4"/>
        <v>0.7602982098837764</v>
      </c>
      <c r="G36" s="9"/>
      <c r="H36" s="4">
        <f t="shared" si="2"/>
        <v>0.10984406774258748</v>
      </c>
      <c r="I36" s="4">
        <f t="shared" si="3"/>
        <v>-2.2086934848633875</v>
      </c>
      <c r="J36" s="1"/>
    </row>
    <row r="37" spans="1:10" ht="15.75">
      <c r="A37" s="1">
        <f>+'Logistic curve'!A37</f>
        <v>41.5</v>
      </c>
      <c r="B37" s="1">
        <f>+'Logistic curve'!B37</f>
        <v>42</v>
      </c>
      <c r="C37" s="1">
        <f>+'Logistic curve'!C37</f>
        <v>8</v>
      </c>
      <c r="D37" s="1">
        <f t="shared" si="0"/>
        <v>50</v>
      </c>
      <c r="E37" s="4">
        <f t="shared" si="1"/>
        <v>0.84</v>
      </c>
      <c r="F37" s="4">
        <f t="shared" si="4"/>
        <v>0.8355596552250252</v>
      </c>
      <c r="G37" s="1"/>
      <c r="H37" s="4">
        <f t="shared" si="2"/>
        <v>0.1517038379282105</v>
      </c>
      <c r="I37" s="4">
        <f t="shared" si="3"/>
        <v>-1.8858250934868295</v>
      </c>
      <c r="J37" s="1"/>
    </row>
    <row r="38" spans="1:10" ht="15.75">
      <c r="A38" s="1">
        <f>+'Logistic curve'!A38</f>
        <v>42.5</v>
      </c>
      <c r="B38" s="1">
        <f>+'Logistic curve'!B38</f>
        <v>26</v>
      </c>
      <c r="C38" s="1">
        <f>+'Logistic curve'!C38</f>
        <v>1</v>
      </c>
      <c r="D38" s="1">
        <f t="shared" si="0"/>
        <v>27</v>
      </c>
      <c r="E38" s="4">
        <f t="shared" si="1"/>
        <v>0.9629629629629629</v>
      </c>
      <c r="F38" s="4">
        <f t="shared" si="4"/>
        <v>0.895007427672118</v>
      </c>
      <c r="G38" s="1"/>
      <c r="H38" s="4">
        <f t="shared" si="2"/>
        <v>0.15849478183366855</v>
      </c>
      <c r="I38" s="4">
        <f t="shared" si="3"/>
        <v>-1.8420336083918052</v>
      </c>
      <c r="J38" s="1"/>
    </row>
    <row r="39" spans="1:10" ht="15.75">
      <c r="A39" s="1">
        <f>+'Logistic curve'!A39</f>
        <v>43.5</v>
      </c>
      <c r="B39" s="1">
        <f>+'Logistic curve'!B39</f>
        <v>18</v>
      </c>
      <c r="C39" s="1">
        <f>+'Logistic curve'!C39</f>
        <v>2</v>
      </c>
      <c r="D39" s="1">
        <f t="shared" si="0"/>
        <v>20</v>
      </c>
      <c r="E39" s="4">
        <f t="shared" si="1"/>
        <v>0.9</v>
      </c>
      <c r="F39" s="4">
        <f t="shared" si="4"/>
        <v>0.9368725810644082</v>
      </c>
      <c r="G39" s="1"/>
      <c r="H39" s="4">
        <f t="shared" si="2"/>
        <v>0.23412036175317927</v>
      </c>
      <c r="I39" s="4">
        <f t="shared" si="3"/>
        <v>-1.4519199293989435</v>
      </c>
      <c r="J39" s="1"/>
    </row>
    <row r="40" spans="1:10" ht="15.75">
      <c r="A40" s="1">
        <f>+'Logistic curve'!A40</f>
        <v>44.5</v>
      </c>
      <c r="B40" s="1">
        <f>+'Logistic curve'!B40</f>
        <v>22</v>
      </c>
      <c r="C40" s="1">
        <f>+'Logistic curve'!C40</f>
        <v>2</v>
      </c>
      <c r="D40" s="1">
        <f t="shared" si="0"/>
        <v>24</v>
      </c>
      <c r="E40" s="4">
        <f t="shared" si="1"/>
        <v>0.9166666666666666</v>
      </c>
      <c r="F40" s="4">
        <f t="shared" si="4"/>
        <v>0.963667533082587</v>
      </c>
      <c r="G40" s="1"/>
      <c r="H40" s="4">
        <f t="shared" si="2"/>
        <v>0.16139789224198942</v>
      </c>
      <c r="I40" s="4">
        <f t="shared" si="3"/>
        <v>-1.8238825824509575</v>
      </c>
      <c r="J40" s="1"/>
    </row>
    <row r="41" spans="1:10" ht="15.75">
      <c r="A41" s="1">
        <f>+'Logistic curve'!A41</f>
        <v>45.5</v>
      </c>
      <c r="B41" s="1">
        <f>+'Logistic curve'!B41</f>
        <v>6</v>
      </c>
      <c r="C41" s="1">
        <f>+'Logistic curve'!C41</f>
        <v>0</v>
      </c>
      <c r="D41" s="1">
        <f t="shared" si="0"/>
        <v>6</v>
      </c>
      <c r="E41" s="4">
        <f t="shared" si="1"/>
        <v>1</v>
      </c>
      <c r="F41" s="4">
        <f t="shared" si="4"/>
        <v>0.979675884110942</v>
      </c>
      <c r="G41" s="1"/>
      <c r="H41" s="4">
        <f t="shared" si="2"/>
        <v>0.884085983104053</v>
      </c>
      <c r="I41" s="4">
        <f t="shared" si="3"/>
        <v>-0.12320095511970885</v>
      </c>
      <c r="J41" s="1"/>
    </row>
    <row r="42" spans="1:10" ht="15.75">
      <c r="A42" s="1">
        <f>+'Logistic curve'!A42</f>
        <v>46.5</v>
      </c>
      <c r="B42" s="1">
        <f>+'Logistic curve'!B42</f>
        <v>6</v>
      </c>
      <c r="C42" s="1">
        <f>+'Logistic curve'!C42</f>
        <v>0</v>
      </c>
      <c r="D42" s="1">
        <f t="shared" si="0"/>
        <v>6</v>
      </c>
      <c r="E42" s="4">
        <f t="shared" si="1"/>
        <v>1</v>
      </c>
      <c r="F42" s="4">
        <f t="shared" si="4"/>
        <v>0.9888241979490279</v>
      </c>
      <c r="G42" s="1"/>
      <c r="H42" s="4">
        <f t="shared" si="2"/>
        <v>0.934790982087288</v>
      </c>
      <c r="I42" s="4">
        <f t="shared" si="3"/>
        <v>-0.06743232325390157</v>
      </c>
      <c r="J42" s="1"/>
    </row>
    <row r="43" spans="1:10" ht="15.75">
      <c r="A43" s="1">
        <f>+'Logistic curve'!A43</f>
        <v>47.5</v>
      </c>
      <c r="B43" s="1">
        <f>+'Logistic curve'!B43</f>
        <v>8</v>
      </c>
      <c r="C43" s="1">
        <f>+'Logistic curve'!C43</f>
        <v>0</v>
      </c>
      <c r="D43" s="1">
        <f t="shared" si="0"/>
        <v>8</v>
      </c>
      <c r="E43" s="4">
        <f t="shared" si="1"/>
        <v>1</v>
      </c>
      <c r="F43" s="4">
        <f t="shared" si="4"/>
        <v>0.9939148799990047</v>
      </c>
      <c r="G43" s="1"/>
      <c r="H43" s="4">
        <f t="shared" si="2"/>
        <v>0.9523433205531336</v>
      </c>
      <c r="I43" s="4">
        <f t="shared" si="3"/>
        <v>-0.04882967836931739</v>
      </c>
      <c r="J43" s="1"/>
    </row>
    <row r="44" spans="1:10" ht="15.75">
      <c r="A44" s="1">
        <f>+'Logistic curve'!A44</f>
        <v>48.5</v>
      </c>
      <c r="B44" s="1">
        <f>+'Logistic curve'!B44</f>
        <v>3</v>
      </c>
      <c r="C44" s="1">
        <f>+'Logistic curve'!C44</f>
        <v>0</v>
      </c>
      <c r="D44" s="1">
        <f t="shared" si="0"/>
        <v>3</v>
      </c>
      <c r="E44" s="4">
        <f t="shared" si="1"/>
        <v>1</v>
      </c>
      <c r="F44" s="4">
        <f t="shared" si="4"/>
        <v>0.9967048571543392</v>
      </c>
      <c r="G44" s="1"/>
      <c r="H44" s="4">
        <f t="shared" si="2"/>
        <v>0.9901471095835874</v>
      </c>
      <c r="I44" s="4">
        <f t="shared" si="3"/>
        <v>-0.009901751353747773</v>
      </c>
      <c r="J44" s="1"/>
    </row>
    <row r="45" spans="1:10" ht="15.75">
      <c r="A45" s="1">
        <f>+'Logistic curve'!A45</f>
        <v>49.5</v>
      </c>
      <c r="B45" s="1">
        <f>+'Logistic curve'!B45</f>
        <v>0</v>
      </c>
      <c r="C45" s="1">
        <f>+'Logistic curve'!C45</f>
        <v>0</v>
      </c>
      <c r="D45" s="1">
        <f t="shared" si="0"/>
        <v>0</v>
      </c>
      <c r="E45" s="4" t="e">
        <f t="shared" si="1"/>
        <v>#DIV/0!</v>
      </c>
      <c r="F45" s="4">
        <f t="shared" si="4"/>
        <v>0.998221022609864</v>
      </c>
      <c r="G45" s="1"/>
      <c r="H45" s="4">
        <f t="shared" si="2"/>
        <v>1</v>
      </c>
      <c r="I45" s="4">
        <f t="shared" si="3"/>
        <v>0</v>
      </c>
      <c r="J45" s="1"/>
    </row>
    <row r="46" spans="1:10" ht="15.75">
      <c r="A46" s="1">
        <f>+'Logistic curve'!A46</f>
        <v>50.5</v>
      </c>
      <c r="B46" s="1">
        <f>+'Logistic curve'!B46</f>
        <v>8</v>
      </c>
      <c r="C46" s="1">
        <f>+'Logistic curve'!C46</f>
        <v>0</v>
      </c>
      <c r="D46" s="1">
        <f t="shared" si="0"/>
        <v>8</v>
      </c>
      <c r="E46" s="4">
        <f t="shared" si="1"/>
        <v>1</v>
      </c>
      <c r="F46" s="4">
        <f t="shared" si="4"/>
        <v>0.9990411408068072</v>
      </c>
      <c r="G46" s="1"/>
      <c r="H46" s="4">
        <f t="shared" si="2"/>
        <v>0.9923548206514545</v>
      </c>
      <c r="I46" s="4">
        <f t="shared" si="3"/>
        <v>-0.007674553541939028</v>
      </c>
      <c r="J46" s="1"/>
    </row>
    <row r="47" spans="1:10" ht="15.75">
      <c r="A47" s="1">
        <f>+'Logistic curve'!A47</f>
        <v>51.5</v>
      </c>
      <c r="B47" s="1">
        <f>+'Logistic curve'!B47</f>
        <v>4</v>
      </c>
      <c r="C47" s="1">
        <f>+'Logistic curve'!C47</f>
        <v>0</v>
      </c>
      <c r="D47" s="1">
        <f t="shared" si="0"/>
        <v>4</v>
      </c>
      <c r="E47" s="4">
        <f t="shared" si="1"/>
        <v>1</v>
      </c>
      <c r="F47" s="4">
        <f t="shared" si="4"/>
        <v>0.9994836382074969</v>
      </c>
      <c r="G47" s="1"/>
      <c r="H47" s="4">
        <f t="shared" si="2"/>
        <v>0.997936152056354</v>
      </c>
      <c r="I47" s="4">
        <f t="shared" si="3"/>
        <v>-0.0020659806126548386</v>
      </c>
      <c r="J47" s="1"/>
    </row>
    <row r="48" spans="1:10" ht="15.75">
      <c r="A48" s="1">
        <f>+'Logistic curve'!A48</f>
        <v>52.5</v>
      </c>
      <c r="B48" s="1">
        <f>+'Logistic curve'!B48</f>
        <v>3</v>
      </c>
      <c r="C48" s="1">
        <f>+'Logistic curve'!C48</f>
        <v>0</v>
      </c>
      <c r="D48" s="1">
        <f t="shared" si="0"/>
        <v>3</v>
      </c>
      <c r="E48" s="4">
        <f t="shared" si="1"/>
        <v>1</v>
      </c>
      <c r="F48" s="4">
        <f t="shared" si="4"/>
        <v>0.9997220635423467</v>
      </c>
      <c r="G48" s="1"/>
      <c r="H48" s="4">
        <f t="shared" si="2"/>
        <v>0.9991664223515934</v>
      </c>
      <c r="I48" s="4">
        <f t="shared" si="3"/>
        <v>-0.0008339252674463304</v>
      </c>
      <c r="J48" s="1"/>
    </row>
    <row r="49" spans="1:10" ht="15.75">
      <c r="A49" s="1">
        <f>+'Logistic curve'!A49</f>
        <v>53.5</v>
      </c>
      <c r="B49" s="1">
        <f>+'Logistic curve'!B49</f>
        <v>0</v>
      </c>
      <c r="C49" s="1">
        <f>+'Logistic curve'!C49</f>
        <v>0</v>
      </c>
      <c r="D49" s="1">
        <f t="shared" si="0"/>
        <v>0</v>
      </c>
      <c r="E49" s="4" t="e">
        <f t="shared" si="1"/>
        <v>#DIV/0!</v>
      </c>
      <c r="F49" s="4">
        <f t="shared" si="4"/>
        <v>0.9998504367359364</v>
      </c>
      <c r="G49" s="1"/>
      <c r="H49" s="4">
        <f t="shared" si="2"/>
        <v>1</v>
      </c>
      <c r="I49" s="4">
        <f t="shared" si="3"/>
        <v>0</v>
      </c>
      <c r="J49" s="1"/>
    </row>
    <row r="50" spans="1:10" ht="15.75">
      <c r="A50" s="1">
        <f>+'Logistic curve'!A50</f>
        <v>54.5</v>
      </c>
      <c r="B50" s="1">
        <f>+'Logistic curve'!B50</f>
        <v>2</v>
      </c>
      <c r="C50" s="1">
        <f>+'Logistic curve'!C50</f>
        <v>0</v>
      </c>
      <c r="D50" s="1">
        <f t="shared" si="0"/>
        <v>2</v>
      </c>
      <c r="E50" s="4">
        <f t="shared" si="1"/>
        <v>1</v>
      </c>
      <c r="F50" s="4">
        <f t="shared" si="4"/>
        <v>0.9999195281392147</v>
      </c>
      <c r="G50" s="1"/>
      <c r="H50" s="4">
        <f t="shared" si="2"/>
        <v>0.9998390627541498</v>
      </c>
      <c r="I50" s="4">
        <f t="shared" si="3"/>
        <v>-0.0001609501976383875</v>
      </c>
      <c r="J50" s="1"/>
    </row>
    <row r="51" spans="1:10" ht="15.75">
      <c r="A51" s="1">
        <f>+'Logistic curve'!A51</f>
        <v>55.5</v>
      </c>
      <c r="B51" s="1">
        <f>+'Logistic curve'!B51</f>
        <v>13</v>
      </c>
      <c r="C51" s="1">
        <f>+'Logistic curve'!C51</f>
        <v>0</v>
      </c>
      <c r="D51" s="1">
        <f t="shared" si="0"/>
        <v>13</v>
      </c>
      <c r="E51" s="4">
        <f t="shared" si="1"/>
        <v>1</v>
      </c>
      <c r="F51" s="4">
        <f t="shared" si="4"/>
        <v>0.9999567057027873</v>
      </c>
      <c r="G51" s="1"/>
      <c r="H51" s="4">
        <f t="shared" si="2"/>
        <v>0.9994373203159294</v>
      </c>
      <c r="I51" s="4">
        <f t="shared" si="3"/>
        <v>-0.0005628380476921914</v>
      </c>
      <c r="J51" s="1"/>
    </row>
    <row r="52" spans="1:10" ht="15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2:10" ht="15.75">
      <c r="B53" s="16"/>
      <c r="C53" s="16"/>
      <c r="D53" s="16"/>
      <c r="E53" s="16"/>
      <c r="F53" s="16"/>
      <c r="G53" s="1"/>
      <c r="H53" s="1"/>
      <c r="I53" s="1"/>
      <c r="J53" s="1"/>
    </row>
    <row r="54" spans="1:10" ht="15.75">
      <c r="A54" s="22" t="s">
        <v>25</v>
      </c>
      <c r="B54" s="16"/>
      <c r="C54" s="16"/>
      <c r="D54" s="16"/>
      <c r="E54" s="16"/>
      <c r="F54" s="16"/>
      <c r="G54" s="1"/>
      <c r="H54" s="1"/>
      <c r="I54" s="1"/>
      <c r="J54" s="1"/>
    </row>
    <row r="55" spans="1:10" ht="15.75">
      <c r="A55" s="23" t="s">
        <v>26</v>
      </c>
      <c r="B55" s="1"/>
      <c r="C55" s="1"/>
      <c r="D55" s="1"/>
      <c r="E55" s="1"/>
      <c r="F55" s="1"/>
      <c r="G55" s="1"/>
      <c r="H55" s="1"/>
      <c r="I55" s="1"/>
      <c r="J55" s="1"/>
    </row>
    <row r="56" spans="1:10" ht="15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.7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5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5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5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5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5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5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.7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.7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.7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5.7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.7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5.7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5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5.7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5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5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5.7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5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5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5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5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5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5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5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5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5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5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5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5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5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5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5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5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5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5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5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5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5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5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5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5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5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5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5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</sheetData>
  <printOptions gridLines="1" headings="1"/>
  <pageMargins left="0.5118110236220472" right="0.5118110236220472" top="0.5118110236220472" bottom="0.5118110236220472" header="0.5118110236220472" footer="0.5118110236220472"/>
  <pageSetup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J307"/>
  <sheetViews>
    <sheetView defaultGridColor="0" zoomScale="75" zoomScaleNormal="75" colorId="22" workbookViewId="0" topLeftCell="A1">
      <selection activeCell="H8" sqref="H8"/>
    </sheetView>
  </sheetViews>
  <sheetFormatPr defaultColWidth="10.59765625" defaultRowHeight="15"/>
  <cols>
    <col min="1" max="4" width="10.59765625" style="0" customWidth="1"/>
    <col min="5" max="5" width="15.19921875" style="0" customWidth="1"/>
    <col min="6" max="6" width="10.59765625" style="0" customWidth="1"/>
    <col min="7" max="7" width="12.09765625" style="0" customWidth="1"/>
    <col min="8" max="9" width="13.19921875" style="0" customWidth="1"/>
    <col min="10" max="11" width="10.59765625" style="0" customWidth="1"/>
  </cols>
  <sheetData>
    <row r="1" spans="1:10" ht="20.25">
      <c r="A1" s="12" t="s">
        <v>30</v>
      </c>
      <c r="B1" s="1"/>
      <c r="C1" s="1"/>
      <c r="D1" s="1"/>
      <c r="E1" s="1"/>
      <c r="F1" s="1"/>
      <c r="G1" s="1"/>
      <c r="H1" s="1"/>
      <c r="I1" s="1"/>
      <c r="J1" s="1"/>
    </row>
    <row r="2" spans="2:10" ht="20.25">
      <c r="B2" s="12" t="s">
        <v>31</v>
      </c>
      <c r="C2" s="1"/>
      <c r="D2" s="1"/>
      <c r="G2" s="1"/>
      <c r="H2" s="2"/>
      <c r="I2" s="18" t="s">
        <v>32</v>
      </c>
      <c r="J2" s="1"/>
    </row>
    <row r="3" spans="1:10" ht="16.5" thickBot="1">
      <c r="A3" s="1"/>
      <c r="B3" s="1"/>
      <c r="C3" s="1"/>
      <c r="D3" s="1"/>
      <c r="E3" s="1" t="s">
        <v>2</v>
      </c>
      <c r="F3" s="1"/>
      <c r="G3" s="1"/>
      <c r="H3" s="1" t="s">
        <v>3</v>
      </c>
      <c r="I3" s="2" t="s">
        <v>4</v>
      </c>
      <c r="J3" s="1"/>
    </row>
    <row r="4" spans="1:10" ht="16.5" thickTop="1">
      <c r="A4" s="1"/>
      <c r="B4" s="1"/>
      <c r="C4" s="1"/>
      <c r="D4" s="1"/>
      <c r="E4" s="3" t="s">
        <v>5</v>
      </c>
      <c r="F4" s="10">
        <v>-14.962671276127638</v>
      </c>
      <c r="G4" s="1"/>
      <c r="H4" s="4">
        <f>-J4*H5</f>
        <v>-7.690286020676768</v>
      </c>
      <c r="I4" s="3" t="s">
        <v>6</v>
      </c>
      <c r="J4" s="5">
        <v>35</v>
      </c>
    </row>
    <row r="5" spans="1:10" ht="15.75">
      <c r="A5" s="1"/>
      <c r="B5" s="1"/>
      <c r="C5" s="1"/>
      <c r="D5" s="1"/>
      <c r="E5" s="3" t="s">
        <v>7</v>
      </c>
      <c r="F5" s="14">
        <v>0.39850882601457777</v>
      </c>
      <c r="G5" s="1"/>
      <c r="H5" s="4">
        <f>2*LN(3)/J5</f>
        <v>0.21972245773362195</v>
      </c>
      <c r="I5" s="3" t="s">
        <v>8</v>
      </c>
      <c r="J5" s="5">
        <v>10</v>
      </c>
    </row>
    <row r="6" spans="2:10" ht="16.5" thickBot="1">
      <c r="B6" s="20"/>
      <c r="C6" s="20"/>
      <c r="D6" s="20"/>
      <c r="E6" s="3" t="s">
        <v>33</v>
      </c>
      <c r="F6" s="13">
        <v>0.946707386830009</v>
      </c>
      <c r="G6" s="1"/>
      <c r="H6" s="5"/>
      <c r="I6" s="1"/>
      <c r="J6" s="1" t="s">
        <v>9</v>
      </c>
    </row>
    <row r="7" spans="1:10" ht="20.25" customHeight="1" thickBot="1" thickTop="1">
      <c r="A7" s="20"/>
      <c r="B7" s="20"/>
      <c r="C7" s="20"/>
      <c r="D7" s="20"/>
      <c r="E7" s="1"/>
      <c r="F7" s="1"/>
      <c r="G7" s="1"/>
      <c r="H7" s="1" t="s">
        <v>10</v>
      </c>
      <c r="I7" s="1"/>
      <c r="J7" s="1" t="s">
        <v>11</v>
      </c>
    </row>
    <row r="8" spans="1:10" ht="17.25" thickBot="1" thickTop="1">
      <c r="A8" s="20"/>
      <c r="B8" s="20"/>
      <c r="C8" s="20"/>
      <c r="D8" s="20"/>
      <c r="E8" s="3" t="s">
        <v>6</v>
      </c>
      <c r="F8" s="1">
        <f>-F4/F5</f>
        <v>37.54664965834481</v>
      </c>
      <c r="G8" s="1"/>
      <c r="H8" s="6">
        <f>SUM(I14:I51)</f>
        <v>-51.357288218235745</v>
      </c>
      <c r="I8" s="1"/>
      <c r="J8" s="1">
        <f>-2*H8+2*3</f>
        <v>108.71457643647149</v>
      </c>
    </row>
    <row r="9" spans="1:10" ht="16.5" thickTop="1">
      <c r="A9" s="20"/>
      <c r="B9" s="20"/>
      <c r="C9" s="20"/>
      <c r="D9" s="20"/>
      <c r="E9" s="3" t="s">
        <v>12</v>
      </c>
      <c r="F9" s="7">
        <f>2*LN(3)/F5</f>
        <v>5.5136158446233345</v>
      </c>
      <c r="G9" s="1"/>
      <c r="H9" s="8"/>
      <c r="I9" s="1"/>
      <c r="J9" s="1"/>
    </row>
    <row r="10" spans="7:10" ht="15.75">
      <c r="G10" s="1"/>
      <c r="H10" s="8"/>
      <c r="I10" s="1"/>
      <c r="J10" s="1"/>
    </row>
    <row r="11" spans="7:10" ht="15.75">
      <c r="G11" s="1"/>
      <c r="H11" s="8"/>
      <c r="I11" s="7"/>
      <c r="J11" s="1"/>
    </row>
    <row r="12" spans="1:10" ht="15.75">
      <c r="A12" s="1"/>
      <c r="B12" s="1" t="s">
        <v>13</v>
      </c>
      <c r="C12" s="1"/>
      <c r="D12" s="1"/>
      <c r="E12" s="1" t="s">
        <v>14</v>
      </c>
      <c r="F12" s="5" t="s">
        <v>15</v>
      </c>
      <c r="G12" s="1"/>
      <c r="H12" s="1" t="s">
        <v>16</v>
      </c>
      <c r="I12" s="1" t="s">
        <v>17</v>
      </c>
      <c r="J12" s="1"/>
    </row>
    <row r="13" spans="1:10" ht="15.75">
      <c r="A13" s="1" t="s">
        <v>18</v>
      </c>
      <c r="B13" s="1" t="s">
        <v>19</v>
      </c>
      <c r="C13" s="1" t="s">
        <v>20</v>
      </c>
      <c r="D13" s="1" t="s">
        <v>21</v>
      </c>
      <c r="E13" s="1" t="s">
        <v>22</v>
      </c>
      <c r="F13" s="1" t="s">
        <v>23</v>
      </c>
      <c r="G13" s="1"/>
      <c r="H13" s="1" t="s">
        <v>24</v>
      </c>
      <c r="J13" s="1"/>
    </row>
    <row r="14" spans="1:10" ht="15.75">
      <c r="A14" s="1">
        <f>+'Logistic curve'!A14</f>
        <v>18.5</v>
      </c>
      <c r="B14" s="1">
        <f>+'Logistic curve'!B14</f>
        <v>0</v>
      </c>
      <c r="C14" s="1">
        <f>+'Logistic curve'!C14</f>
        <v>0</v>
      </c>
      <c r="D14" s="1">
        <f aca="true" t="shared" si="0" ref="D14:D51">+C14+B14</f>
        <v>0</v>
      </c>
      <c r="E14" s="4" t="e">
        <f aca="true" t="shared" si="1" ref="E14:E51">+B14/(C14+B14)</f>
        <v>#DIV/0!</v>
      </c>
      <c r="F14" s="4">
        <f>$F$6*EXP($F$4+$F$5*A14)/(1+EXP($F$4+$F$5*A14))+1-$F$6</f>
        <v>0.05377079072472146</v>
      </c>
      <c r="G14" s="4"/>
      <c r="H14" s="4">
        <f aca="true" t="shared" si="2" ref="H14:H51">COMBIN(D14,B14)*(F14^B14)*((1-F14)^C14)</f>
        <v>1</v>
      </c>
      <c r="I14" s="4">
        <f aca="true" t="shared" si="3" ref="I14:I51">LN(H14)</f>
        <v>0</v>
      </c>
      <c r="J14" s="1"/>
    </row>
    <row r="15" spans="1:10" ht="15.75">
      <c r="A15" s="1">
        <f>+'Logistic curve'!A15</f>
        <v>19.5</v>
      </c>
      <c r="B15" s="1">
        <f>+'Logistic curve'!B15</f>
        <v>1</v>
      </c>
      <c r="C15" s="1">
        <f>+'Logistic curve'!C15</f>
        <v>4</v>
      </c>
      <c r="D15" s="1">
        <f t="shared" si="0"/>
        <v>5</v>
      </c>
      <c r="E15" s="4">
        <f t="shared" si="1"/>
        <v>0.2</v>
      </c>
      <c r="F15" s="4">
        <f aca="true" t="shared" si="4" ref="F15:F51">$F$6*EXP($F$4+$F$5*A15)/(1+EXP($F$4+$F$5*A15))+1-$F$6</f>
        <v>0.05400473120551619</v>
      </c>
      <c r="G15" s="4"/>
      <c r="H15" s="4">
        <f t="shared" si="2"/>
        <v>0.21625077404598853</v>
      </c>
      <c r="I15" s="4">
        <f t="shared" si="3"/>
        <v>-1.5313165537731392</v>
      </c>
      <c r="J15" s="1"/>
    </row>
    <row r="16" spans="1:10" ht="15.75">
      <c r="A16" s="1">
        <f>+'Logistic curve'!A16</f>
        <v>20.5</v>
      </c>
      <c r="B16" s="1">
        <f>+'Logistic curve'!B16</f>
        <v>1</v>
      </c>
      <c r="C16" s="1">
        <f>+'Logistic curve'!C16</f>
        <v>25</v>
      </c>
      <c r="D16" s="1">
        <f t="shared" si="0"/>
        <v>26</v>
      </c>
      <c r="E16" s="4">
        <f t="shared" si="1"/>
        <v>0.038461538461538464</v>
      </c>
      <c r="F16" s="4">
        <f t="shared" si="4"/>
        <v>0.05435299494864598</v>
      </c>
      <c r="G16" s="4"/>
      <c r="H16" s="4">
        <f t="shared" si="2"/>
        <v>0.34948063297489085</v>
      </c>
      <c r="I16" s="4">
        <f t="shared" si="3"/>
        <v>-1.0513071323632834</v>
      </c>
      <c r="J16" s="1"/>
    </row>
    <row r="17" spans="1:10" ht="15.75">
      <c r="A17" s="1">
        <f>+'Logistic curve'!A17</f>
        <v>21.5</v>
      </c>
      <c r="B17" s="1">
        <f>+'Logistic curve'!B17</f>
        <v>2</v>
      </c>
      <c r="C17" s="1">
        <f>+'Logistic curve'!C17</f>
        <v>69</v>
      </c>
      <c r="D17" s="1">
        <f t="shared" si="0"/>
        <v>71</v>
      </c>
      <c r="E17" s="4">
        <f t="shared" si="1"/>
        <v>0.028169014084507043</v>
      </c>
      <c r="F17" s="4">
        <f t="shared" si="4"/>
        <v>0.05487129402781077</v>
      </c>
      <c r="G17" s="4"/>
      <c r="H17" s="4">
        <f t="shared" si="2"/>
        <v>0.15236759882252704</v>
      </c>
      <c r="I17" s="4">
        <f t="shared" si="3"/>
        <v>-1.8814592644848802</v>
      </c>
      <c r="J17" s="1"/>
    </row>
    <row r="18" spans="1:10" ht="15.75">
      <c r="A18" s="1">
        <f>+'Logistic curve'!A18</f>
        <v>22.5</v>
      </c>
      <c r="B18" s="1">
        <f>+'Logistic curve'!B18</f>
        <v>10</v>
      </c>
      <c r="C18" s="1">
        <f>+'Logistic curve'!C18</f>
        <v>151</v>
      </c>
      <c r="D18" s="1">
        <f t="shared" si="0"/>
        <v>161</v>
      </c>
      <c r="E18" s="4">
        <f t="shared" si="1"/>
        <v>0.062111801242236024</v>
      </c>
      <c r="F18" s="4">
        <f t="shared" si="4"/>
        <v>0.05564230062725273</v>
      </c>
      <c r="G18" s="4"/>
      <c r="H18" s="4">
        <f t="shared" si="2"/>
        <v>0.12142688585942125</v>
      </c>
      <c r="I18" s="4">
        <f t="shared" si="3"/>
        <v>-2.1084429598071397</v>
      </c>
      <c r="J18" s="1"/>
    </row>
    <row r="19" spans="1:10" ht="15.75">
      <c r="A19" s="1">
        <f>+'Logistic curve'!A19</f>
        <v>23.5</v>
      </c>
      <c r="B19" s="1">
        <f>+'Logistic curve'!B19</f>
        <v>13</v>
      </c>
      <c r="C19" s="1">
        <f>+'Logistic curve'!C19</f>
        <v>190</v>
      </c>
      <c r="D19" s="1">
        <f t="shared" si="0"/>
        <v>203</v>
      </c>
      <c r="E19" s="4">
        <f t="shared" si="1"/>
        <v>0.06403940886699508</v>
      </c>
      <c r="F19" s="4">
        <f t="shared" si="4"/>
        <v>0.05678846374555746</v>
      </c>
      <c r="G19" s="4"/>
      <c r="H19" s="4">
        <f t="shared" si="2"/>
        <v>0.10324600546382258</v>
      </c>
      <c r="I19" s="4">
        <f t="shared" si="3"/>
        <v>-2.270640735891113</v>
      </c>
      <c r="J19" s="1"/>
    </row>
    <row r="20" spans="1:10" ht="15.75">
      <c r="A20" s="1">
        <f>+'Logistic curve'!A20</f>
        <v>24.5</v>
      </c>
      <c r="B20" s="1">
        <f>+'Logistic curve'!B20</f>
        <v>10</v>
      </c>
      <c r="C20" s="1">
        <f>+'Logistic curve'!C20</f>
        <v>192</v>
      </c>
      <c r="D20" s="1">
        <f t="shared" si="0"/>
        <v>202</v>
      </c>
      <c r="E20" s="4">
        <f t="shared" si="1"/>
        <v>0.04950495049504951</v>
      </c>
      <c r="F20" s="4">
        <f t="shared" si="4"/>
        <v>0.058490640791198145</v>
      </c>
      <c r="G20" s="4"/>
      <c r="H20" s="4">
        <f t="shared" si="2"/>
        <v>0.10981042509187255</v>
      </c>
      <c r="I20" s="4">
        <f t="shared" si="3"/>
        <v>-2.208999808221894</v>
      </c>
      <c r="J20" s="1"/>
    </row>
    <row r="21" spans="1:10" ht="15.75">
      <c r="A21" s="1">
        <f>+'Logistic curve'!A21</f>
        <v>25.5</v>
      </c>
      <c r="B21" s="1">
        <f>+'Logistic curve'!B21</f>
        <v>14</v>
      </c>
      <c r="C21" s="1">
        <f>+'Logistic curve'!C21</f>
        <v>146</v>
      </c>
      <c r="D21" s="1">
        <f t="shared" si="0"/>
        <v>160</v>
      </c>
      <c r="E21" s="4">
        <f t="shared" si="1"/>
        <v>0.0875</v>
      </c>
      <c r="F21" s="4">
        <f t="shared" si="4"/>
        <v>0.06101484528759038</v>
      </c>
      <c r="G21" s="4"/>
      <c r="H21" s="4">
        <f t="shared" si="2"/>
        <v>0.046481729129034664</v>
      </c>
      <c r="I21" s="4">
        <f t="shared" si="3"/>
        <v>-3.0686959655591286</v>
      </c>
      <c r="J21" s="1"/>
    </row>
    <row r="22" spans="1:10" ht="15.75">
      <c r="A22" s="1">
        <f>+'Logistic curve'!A22</f>
        <v>26.5</v>
      </c>
      <c r="B22" s="1">
        <f>+'Logistic curve'!B22</f>
        <v>7</v>
      </c>
      <c r="C22" s="1">
        <f>+'Logistic curve'!C22</f>
        <v>102</v>
      </c>
      <c r="D22" s="1">
        <f t="shared" si="0"/>
        <v>109</v>
      </c>
      <c r="E22" s="4">
        <f t="shared" si="1"/>
        <v>0.06422018348623854</v>
      </c>
      <c r="F22" s="4">
        <f t="shared" si="4"/>
        <v>0.06474990748684173</v>
      </c>
      <c r="G22" s="4"/>
      <c r="H22" s="4">
        <f t="shared" si="2"/>
        <v>0.15398371435435507</v>
      </c>
      <c r="I22" s="4">
        <f t="shared" si="3"/>
        <v>-1.8709084331062797</v>
      </c>
      <c r="J22" s="1"/>
    </row>
    <row r="23" spans="1:10" ht="15.75">
      <c r="A23" s="1">
        <f>+'Logistic curve'!A23</f>
        <v>27.5</v>
      </c>
      <c r="B23" s="1">
        <f>+'Logistic curve'!B23</f>
        <v>1</v>
      </c>
      <c r="C23" s="1">
        <f>+'Logistic curve'!C23</f>
        <v>62</v>
      </c>
      <c r="D23" s="1">
        <f t="shared" si="0"/>
        <v>63</v>
      </c>
      <c r="E23" s="4">
        <f t="shared" si="1"/>
        <v>0.015873015873015872</v>
      </c>
      <c r="F23" s="4">
        <f t="shared" si="4"/>
        <v>0.07025888920551993</v>
      </c>
      <c r="G23" s="4"/>
      <c r="H23" s="4">
        <f t="shared" si="2"/>
        <v>0.04836018854309814</v>
      </c>
      <c r="I23" s="4">
        <f t="shared" si="3"/>
        <v>-3.029078354502489</v>
      </c>
      <c r="J23" s="1"/>
    </row>
    <row r="24" spans="1:10" ht="15.75">
      <c r="A24" s="1">
        <f>+'Logistic curve'!A24</f>
        <v>28.5</v>
      </c>
      <c r="B24" s="1">
        <f>+'Logistic curve'!B24</f>
        <v>1</v>
      </c>
      <c r="C24" s="1">
        <f>+'Logistic curve'!C24</f>
        <v>24</v>
      </c>
      <c r="D24" s="1">
        <f t="shared" si="0"/>
        <v>25</v>
      </c>
      <c r="E24" s="4">
        <f t="shared" si="1"/>
        <v>0.04</v>
      </c>
      <c r="F24" s="4">
        <f t="shared" si="4"/>
        <v>0.0783457835625273</v>
      </c>
      <c r="G24" s="4"/>
      <c r="H24" s="4">
        <f t="shared" si="2"/>
        <v>0.2764317858401098</v>
      </c>
      <c r="I24" s="4">
        <f t="shared" si="3"/>
        <v>-1.2857911942790228</v>
      </c>
      <c r="J24" s="1"/>
    </row>
    <row r="25" spans="1:10" ht="15.75">
      <c r="A25" s="1">
        <f>+'Logistic curve'!A25</f>
        <v>29.5</v>
      </c>
      <c r="B25" s="1">
        <f>+'Logistic curve'!B25</f>
        <v>0</v>
      </c>
      <c r="C25" s="1">
        <f>+'Logistic curve'!C25</f>
        <v>4</v>
      </c>
      <c r="D25" s="1">
        <f t="shared" si="0"/>
        <v>4</v>
      </c>
      <c r="E25" s="4">
        <f t="shared" si="1"/>
        <v>0</v>
      </c>
      <c r="F25" s="4">
        <f t="shared" si="4"/>
        <v>0.09013451595959332</v>
      </c>
      <c r="G25" s="4"/>
      <c r="H25" s="4">
        <f t="shared" si="2"/>
        <v>0.6853442305909421</v>
      </c>
      <c r="I25" s="4">
        <f t="shared" si="3"/>
        <v>-0.37783404053388825</v>
      </c>
      <c r="J25" s="1"/>
    </row>
    <row r="26" spans="1:10" ht="15.75">
      <c r="A26" s="1">
        <f>+'Logistic curve'!A26</f>
        <v>30.5</v>
      </c>
      <c r="B26" s="1">
        <f>+'Logistic curve'!B26</f>
        <v>1</v>
      </c>
      <c r="C26" s="1">
        <f>+'Logistic curve'!C26</f>
        <v>8</v>
      </c>
      <c r="D26" s="1">
        <f t="shared" si="0"/>
        <v>9</v>
      </c>
      <c r="E26" s="4">
        <f t="shared" si="1"/>
        <v>0.1111111111111111</v>
      </c>
      <c r="F26" s="4">
        <f t="shared" si="4"/>
        <v>0.1071462892790046</v>
      </c>
      <c r="G26" s="4"/>
      <c r="H26" s="4">
        <f t="shared" si="2"/>
        <v>0.3894593257831944</v>
      </c>
      <c r="I26" s="4">
        <f t="shared" si="3"/>
        <v>-0.9429958458682313</v>
      </c>
      <c r="J26" s="1"/>
    </row>
    <row r="27" spans="1:10" ht="15.75">
      <c r="A27" s="1">
        <f>+'Logistic curve'!A27</f>
        <v>31.5</v>
      </c>
      <c r="B27" s="1">
        <f>+'Logistic curve'!B27</f>
        <v>2</v>
      </c>
      <c r="C27" s="1">
        <f>+'Logistic curve'!C27</f>
        <v>12</v>
      </c>
      <c r="D27" s="1">
        <f t="shared" si="0"/>
        <v>14</v>
      </c>
      <c r="E27" s="4">
        <f t="shared" si="1"/>
        <v>0.14285714285714285</v>
      </c>
      <c r="F27" s="4">
        <f t="shared" si="4"/>
        <v>0.13133945373980616</v>
      </c>
      <c r="G27" s="4"/>
      <c r="H27" s="4">
        <f t="shared" si="2"/>
        <v>0.28975635130336946</v>
      </c>
      <c r="I27" s="4">
        <f t="shared" si="3"/>
        <v>-1.2387148770599106</v>
      </c>
      <c r="J27" s="1"/>
    </row>
    <row r="28" spans="1:10" ht="15.75">
      <c r="A28" s="1">
        <f>+'Logistic curve'!A28</f>
        <v>32.5</v>
      </c>
      <c r="B28" s="1">
        <f>+'Logistic curve'!B28</f>
        <v>5</v>
      </c>
      <c r="C28" s="1">
        <f>+'Logistic curve'!C28</f>
        <v>19</v>
      </c>
      <c r="D28" s="1">
        <f t="shared" si="0"/>
        <v>24</v>
      </c>
      <c r="E28" s="4">
        <f t="shared" si="1"/>
        <v>0.20833333333333334</v>
      </c>
      <c r="F28" s="4">
        <f t="shared" si="4"/>
        <v>0.1650408416504855</v>
      </c>
      <c r="G28" s="4"/>
      <c r="H28" s="4">
        <f t="shared" si="2"/>
        <v>0.1690543586698088</v>
      </c>
      <c r="I28" s="4">
        <f t="shared" si="3"/>
        <v>-1.7775349668432123</v>
      </c>
      <c r="J28" s="1"/>
    </row>
    <row r="29" spans="1:10" ht="15.75">
      <c r="A29" s="1">
        <f>+'Logistic curve'!A29</f>
        <v>33.5</v>
      </c>
      <c r="B29" s="1">
        <f>+'Logistic curve'!B29</f>
        <v>2</v>
      </c>
      <c r="C29" s="1">
        <f>+'Logistic curve'!C29</f>
        <v>16</v>
      </c>
      <c r="D29" s="1">
        <f t="shared" si="0"/>
        <v>18</v>
      </c>
      <c r="E29" s="4">
        <f t="shared" si="1"/>
        <v>0.1111111111111111</v>
      </c>
      <c r="F29" s="4">
        <f t="shared" si="4"/>
        <v>0.21065848236487217</v>
      </c>
      <c r="G29" s="4"/>
      <c r="H29" s="4">
        <f t="shared" si="2"/>
        <v>0.15420145603563268</v>
      </c>
      <c r="I29" s="4">
        <f t="shared" si="3"/>
        <v>-1.8694953753836576</v>
      </c>
      <c r="J29" s="1"/>
    </row>
    <row r="30" spans="1:10" ht="15.75">
      <c r="A30" s="1">
        <f>+'Logistic curve'!A30</f>
        <v>34.5</v>
      </c>
      <c r="B30" s="1">
        <f>+'Logistic curve'!B30</f>
        <v>16</v>
      </c>
      <c r="C30" s="1">
        <f>+'Logistic curve'!C30</f>
        <v>27</v>
      </c>
      <c r="D30" s="1">
        <f t="shared" si="0"/>
        <v>43</v>
      </c>
      <c r="E30" s="4">
        <f t="shared" si="1"/>
        <v>0.37209302325581395</v>
      </c>
      <c r="F30" s="4">
        <f t="shared" si="4"/>
        <v>0.2700634650224164</v>
      </c>
      <c r="G30" s="4"/>
      <c r="H30" s="4">
        <f t="shared" si="2"/>
        <v>0.043221058454853176</v>
      </c>
      <c r="I30" s="4">
        <f t="shared" si="3"/>
        <v>-3.1414274382714527</v>
      </c>
      <c r="J30" s="1"/>
    </row>
    <row r="31" spans="1:10" ht="15.75">
      <c r="A31" s="1">
        <f>+'Logistic curve'!A31</f>
        <v>35.5</v>
      </c>
      <c r="B31" s="1">
        <f>+'Logistic curve'!B31</f>
        <v>18</v>
      </c>
      <c r="C31" s="1">
        <f>+'Logistic curve'!C31</f>
        <v>31</v>
      </c>
      <c r="D31" s="1">
        <f t="shared" si="0"/>
        <v>49</v>
      </c>
      <c r="E31" s="4">
        <f t="shared" si="1"/>
        <v>0.3673469387755102</v>
      </c>
      <c r="F31" s="4">
        <f t="shared" si="4"/>
        <v>0.34364470533112856</v>
      </c>
      <c r="G31" s="4"/>
      <c r="H31" s="4">
        <f t="shared" si="2"/>
        <v>0.11066866870926398</v>
      </c>
      <c r="I31" s="4">
        <f t="shared" si="3"/>
        <v>-2.2012145081510326</v>
      </c>
      <c r="J31" s="1"/>
    </row>
    <row r="32" spans="1:10" ht="15.75">
      <c r="A32" s="1">
        <f>+'Logistic curve'!A32</f>
        <v>36.5</v>
      </c>
      <c r="B32" s="1">
        <f>+'Logistic curve'!B32</f>
        <v>23</v>
      </c>
      <c r="C32" s="1">
        <f>+'Logistic curve'!C32</f>
        <v>37</v>
      </c>
      <c r="D32" s="1">
        <f t="shared" si="0"/>
        <v>60</v>
      </c>
      <c r="E32" s="4">
        <f t="shared" si="1"/>
        <v>0.38333333333333336</v>
      </c>
      <c r="F32" s="4">
        <f t="shared" si="4"/>
        <v>0.4293353066690325</v>
      </c>
      <c r="G32" s="1"/>
      <c r="H32" s="4">
        <f t="shared" si="2"/>
        <v>0.08116384116973335</v>
      </c>
      <c r="I32" s="4">
        <f t="shared" si="3"/>
        <v>-2.5112854367840343</v>
      </c>
      <c r="J32" s="1"/>
    </row>
    <row r="33" spans="1:10" ht="15.75">
      <c r="A33" s="1">
        <f>+'Logistic curve'!A33</f>
        <v>37.5</v>
      </c>
      <c r="B33" s="1">
        <f>+'Logistic curve'!B33</f>
        <v>36</v>
      </c>
      <c r="C33" s="1">
        <f>+'Logistic curve'!C33</f>
        <v>32</v>
      </c>
      <c r="D33" s="1">
        <f t="shared" si="0"/>
        <v>68</v>
      </c>
      <c r="E33" s="4">
        <f t="shared" si="1"/>
        <v>0.5294117647058824</v>
      </c>
      <c r="F33" s="4">
        <f t="shared" si="4"/>
        <v>0.522246539576441</v>
      </c>
      <c r="G33" s="9"/>
      <c r="H33" s="4">
        <f t="shared" si="2"/>
        <v>0.09589467451803138</v>
      </c>
      <c r="I33" s="4">
        <f t="shared" si="3"/>
        <v>-2.3445048302506213</v>
      </c>
      <c r="J33" s="1"/>
    </row>
    <row r="34" spans="1:10" ht="15.75">
      <c r="A34" s="1">
        <f>+'Logistic curve'!A34</f>
        <v>38.5</v>
      </c>
      <c r="B34" s="1">
        <f>+'Logistic curve'!B34</f>
        <v>57</v>
      </c>
      <c r="C34" s="1">
        <f>+'Logistic curve'!C34</f>
        <v>34</v>
      </c>
      <c r="D34" s="1">
        <f t="shared" si="0"/>
        <v>91</v>
      </c>
      <c r="E34" s="4">
        <f t="shared" si="1"/>
        <v>0.6263736263736264</v>
      </c>
      <c r="F34" s="4">
        <f t="shared" si="4"/>
        <v>0.615498062976206</v>
      </c>
      <c r="G34" s="9"/>
      <c r="H34" s="4">
        <f t="shared" si="2"/>
        <v>0.08424428172847187</v>
      </c>
      <c r="I34" s="4">
        <f t="shared" si="3"/>
        <v>-2.4740345847122067</v>
      </c>
      <c r="J34" s="1"/>
    </row>
    <row r="35" spans="1:10" ht="15.75">
      <c r="A35" s="1">
        <f>+'Logistic curve'!A35</f>
        <v>39.5</v>
      </c>
      <c r="B35" s="1">
        <f>+'Logistic curve'!B35</f>
        <v>46</v>
      </c>
      <c r="C35" s="1">
        <f>+'Logistic curve'!C35</f>
        <v>24</v>
      </c>
      <c r="D35" s="1">
        <f t="shared" si="0"/>
        <v>70</v>
      </c>
      <c r="E35" s="4">
        <f t="shared" si="1"/>
        <v>0.6571428571428571</v>
      </c>
      <c r="F35" s="4">
        <f t="shared" si="4"/>
        <v>0.7021100697003723</v>
      </c>
      <c r="G35" s="9"/>
      <c r="H35" s="4">
        <f t="shared" si="2"/>
        <v>0.0719629074015545</v>
      </c>
      <c r="I35" s="4">
        <f t="shared" si="3"/>
        <v>-2.631604467692715</v>
      </c>
      <c r="J35" s="1"/>
    </row>
    <row r="36" spans="1:10" ht="15.75">
      <c r="A36" s="1">
        <f>+'Logistic curve'!A36</f>
        <v>40.5</v>
      </c>
      <c r="B36" s="1">
        <f>+'Logistic curve'!B36</f>
        <v>55</v>
      </c>
      <c r="C36" s="1">
        <f>+'Logistic curve'!C36</f>
        <v>17</v>
      </c>
      <c r="D36" s="1">
        <f t="shared" si="0"/>
        <v>72</v>
      </c>
      <c r="E36" s="4">
        <f t="shared" si="1"/>
        <v>0.7638888888888888</v>
      </c>
      <c r="F36" s="4">
        <f t="shared" si="4"/>
        <v>0.7769524008198693</v>
      </c>
      <c r="G36" s="9"/>
      <c r="H36" s="4">
        <f t="shared" si="2"/>
        <v>0.10634027306058208</v>
      </c>
      <c r="I36" s="4">
        <f t="shared" si="3"/>
        <v>-2.241111203102376</v>
      </c>
      <c r="J36" s="1"/>
    </row>
    <row r="37" spans="1:10" ht="15.75">
      <c r="A37" s="1">
        <f>+'Logistic curve'!A37</f>
        <v>41.5</v>
      </c>
      <c r="B37" s="1">
        <f>+'Logistic curve'!B37</f>
        <v>42</v>
      </c>
      <c r="C37" s="1">
        <f>+'Logistic curve'!C37</f>
        <v>8</v>
      </c>
      <c r="D37" s="1">
        <f t="shared" si="0"/>
        <v>50</v>
      </c>
      <c r="E37" s="4">
        <f t="shared" si="1"/>
        <v>0.84</v>
      </c>
      <c r="F37" s="4">
        <f t="shared" si="4"/>
        <v>0.8376950198329215</v>
      </c>
      <c r="G37" s="1"/>
      <c r="H37" s="4">
        <f t="shared" si="2"/>
        <v>0.15210381590364275</v>
      </c>
      <c r="I37" s="4">
        <f t="shared" si="3"/>
        <v>-1.8831919919077076</v>
      </c>
      <c r="J37" s="1"/>
    </row>
    <row r="38" spans="1:10" ht="15.75">
      <c r="A38" s="1">
        <f>+'Logistic curve'!A38</f>
        <v>42.5</v>
      </c>
      <c r="B38" s="1">
        <f>+'Logistic curve'!B38</f>
        <v>26</v>
      </c>
      <c r="C38" s="1">
        <f>+'Logistic curve'!C38</f>
        <v>1</v>
      </c>
      <c r="D38" s="1">
        <f t="shared" si="0"/>
        <v>27</v>
      </c>
      <c r="E38" s="4">
        <f t="shared" si="1"/>
        <v>0.9629629629629629</v>
      </c>
      <c r="F38" s="4">
        <f t="shared" si="4"/>
        <v>0.8845349847926894</v>
      </c>
      <c r="G38" s="1"/>
      <c r="H38" s="4">
        <f t="shared" si="2"/>
        <v>0.12835256788271124</v>
      </c>
      <c r="I38" s="4">
        <f t="shared" si="3"/>
        <v>-2.052974364987746</v>
      </c>
      <c r="J38" s="1"/>
    </row>
    <row r="39" spans="1:10" ht="15.75">
      <c r="A39" s="1">
        <f>+'Logistic curve'!A39</f>
        <v>43.5</v>
      </c>
      <c r="B39" s="1">
        <f>+'Logistic curve'!B39</f>
        <v>18</v>
      </c>
      <c r="C39" s="1">
        <f>+'Logistic curve'!C39</f>
        <v>2</v>
      </c>
      <c r="D39" s="1">
        <f t="shared" si="0"/>
        <v>20</v>
      </c>
      <c r="E39" s="4">
        <f t="shared" si="1"/>
        <v>0.9</v>
      </c>
      <c r="F39" s="4">
        <f t="shared" si="4"/>
        <v>0.9192488859379558</v>
      </c>
      <c r="G39" s="1"/>
      <c r="H39" s="4">
        <f t="shared" si="2"/>
        <v>0.2721740188701405</v>
      </c>
      <c r="I39" s="4">
        <f t="shared" si="3"/>
        <v>-1.301313641997213</v>
      </c>
      <c r="J39" s="1"/>
    </row>
    <row r="40" spans="1:10" ht="15.75">
      <c r="A40" s="1">
        <f>+'Logistic curve'!A40</f>
        <v>44.5</v>
      </c>
      <c r="B40" s="1">
        <f>+'Logistic curve'!B40</f>
        <v>22</v>
      </c>
      <c r="C40" s="1">
        <f>+'Logistic curve'!C40</f>
        <v>2</v>
      </c>
      <c r="D40" s="1">
        <f t="shared" si="0"/>
        <v>24</v>
      </c>
      <c r="E40" s="4">
        <f t="shared" si="1"/>
        <v>0.9166666666666666</v>
      </c>
      <c r="F40" s="4">
        <f t="shared" si="4"/>
        <v>0.9442265054628834</v>
      </c>
      <c r="G40" s="1"/>
      <c r="H40" s="4">
        <f t="shared" si="2"/>
        <v>0.24290749615890928</v>
      </c>
      <c r="I40" s="4">
        <f t="shared" si="3"/>
        <v>-1.4150745823595934</v>
      </c>
      <c r="J40" s="1"/>
    </row>
    <row r="41" spans="1:10" ht="15.75">
      <c r="A41" s="1">
        <f>+'Logistic curve'!A41</f>
        <v>45.5</v>
      </c>
      <c r="B41" s="1">
        <f>+'Logistic curve'!B41</f>
        <v>6</v>
      </c>
      <c r="C41" s="1">
        <f>+'Logistic curve'!C41</f>
        <v>0</v>
      </c>
      <c r="D41" s="1">
        <f t="shared" si="0"/>
        <v>6</v>
      </c>
      <c r="E41" s="4">
        <f t="shared" si="1"/>
        <v>1</v>
      </c>
      <c r="F41" s="4">
        <f t="shared" si="4"/>
        <v>0.9618187942743462</v>
      </c>
      <c r="G41" s="1"/>
      <c r="H41" s="4">
        <f t="shared" si="2"/>
        <v>0.7916980122094536</v>
      </c>
      <c r="I41" s="4">
        <f t="shared" si="3"/>
        <v>-0.23357525759550543</v>
      </c>
      <c r="J41" s="1"/>
    </row>
    <row r="42" spans="1:10" ht="15.75">
      <c r="A42" s="1">
        <f>+'Logistic curve'!A42</f>
        <v>46.5</v>
      </c>
      <c r="B42" s="1">
        <f>+'Logistic curve'!B42</f>
        <v>6</v>
      </c>
      <c r="C42" s="1">
        <f>+'Logistic curve'!C42</f>
        <v>0</v>
      </c>
      <c r="D42" s="1">
        <f t="shared" si="0"/>
        <v>6</v>
      </c>
      <c r="E42" s="4">
        <f t="shared" si="1"/>
        <v>1</v>
      </c>
      <c r="F42" s="4">
        <f t="shared" si="4"/>
        <v>0.9740238440862171</v>
      </c>
      <c r="G42" s="1"/>
      <c r="H42" s="4">
        <f t="shared" si="2"/>
        <v>0.8539206797624446</v>
      </c>
      <c r="I42" s="4">
        <f t="shared" si="3"/>
        <v>-0.1579169703474884</v>
      </c>
      <c r="J42" s="1"/>
    </row>
    <row r="43" spans="1:10" ht="15.75">
      <c r="A43" s="1">
        <f>+'Logistic curve'!A43</f>
        <v>47.5</v>
      </c>
      <c r="B43" s="1">
        <f>+'Logistic curve'!B43</f>
        <v>8</v>
      </c>
      <c r="C43" s="1">
        <f>+'Logistic curve'!C43</f>
        <v>0</v>
      </c>
      <c r="D43" s="1">
        <f t="shared" si="0"/>
        <v>8</v>
      </c>
      <c r="E43" s="4">
        <f t="shared" si="1"/>
        <v>1</v>
      </c>
      <c r="F43" s="4">
        <f t="shared" si="4"/>
        <v>0.9824029799236514</v>
      </c>
      <c r="G43" s="1"/>
      <c r="H43" s="4">
        <f t="shared" si="2"/>
        <v>0.8675956565951289</v>
      </c>
      <c r="I43" s="4">
        <f t="shared" si="3"/>
        <v>-0.14202950627162975</v>
      </c>
      <c r="J43" s="1"/>
    </row>
    <row r="44" spans="1:10" ht="15.75">
      <c r="A44" s="1">
        <f>+'Logistic curve'!A44</f>
        <v>48.5</v>
      </c>
      <c r="B44" s="1">
        <f>+'Logistic curve'!B44</f>
        <v>3</v>
      </c>
      <c r="C44" s="1">
        <f>+'Logistic curve'!C44</f>
        <v>0</v>
      </c>
      <c r="D44" s="1">
        <f t="shared" si="0"/>
        <v>3</v>
      </c>
      <c r="E44" s="4">
        <f t="shared" si="1"/>
        <v>1</v>
      </c>
      <c r="F44" s="4">
        <f t="shared" si="4"/>
        <v>0.9881141471971183</v>
      </c>
      <c r="G44" s="1"/>
      <c r="H44" s="4">
        <f t="shared" si="2"/>
        <v>0.9647645829259217</v>
      </c>
      <c r="I44" s="4">
        <f t="shared" si="3"/>
        <v>-0.03587116292231838</v>
      </c>
      <c r="J44" s="1"/>
    </row>
    <row r="45" spans="1:10" ht="15.75">
      <c r="A45" s="1">
        <f>+'Logistic curve'!A45</f>
        <v>49.5</v>
      </c>
      <c r="B45" s="1">
        <f>+'Logistic curve'!B45</f>
        <v>0</v>
      </c>
      <c r="C45" s="1">
        <f>+'Logistic curve'!C45</f>
        <v>0</v>
      </c>
      <c r="D45" s="1">
        <f t="shared" si="0"/>
        <v>0</v>
      </c>
      <c r="E45" s="4" t="e">
        <f t="shared" si="1"/>
        <v>#DIV/0!</v>
      </c>
      <c r="F45" s="4">
        <f t="shared" si="4"/>
        <v>0.991987721984093</v>
      </c>
      <c r="G45" s="1"/>
      <c r="H45" s="4">
        <f t="shared" si="2"/>
        <v>1</v>
      </c>
      <c r="I45" s="4">
        <f t="shared" si="3"/>
        <v>0</v>
      </c>
      <c r="J45" s="1"/>
    </row>
    <row r="46" spans="1:10" ht="15.75">
      <c r="A46" s="1">
        <f>+'Logistic curve'!A46</f>
        <v>50.5</v>
      </c>
      <c r="B46" s="1">
        <f>+'Logistic curve'!B46</f>
        <v>8</v>
      </c>
      <c r="C46" s="1">
        <f>+'Logistic curve'!C46</f>
        <v>0</v>
      </c>
      <c r="D46" s="1">
        <f t="shared" si="0"/>
        <v>8</v>
      </c>
      <c r="E46" s="4">
        <f t="shared" si="1"/>
        <v>1</v>
      </c>
      <c r="F46" s="4">
        <f t="shared" si="4"/>
        <v>0.9946061906191374</v>
      </c>
      <c r="G46" s="1"/>
      <c r="H46" s="4">
        <f t="shared" si="2"/>
        <v>0.957655405285227</v>
      </c>
      <c r="I46" s="4">
        <f t="shared" si="3"/>
        <v>-0.04326726792712068</v>
      </c>
      <c r="J46" s="1"/>
    </row>
    <row r="47" spans="1:10" ht="15.75">
      <c r="A47" s="1">
        <f>+'Logistic curve'!A47</f>
        <v>51.5</v>
      </c>
      <c r="B47" s="1">
        <f>+'Logistic curve'!B47</f>
        <v>4</v>
      </c>
      <c r="C47" s="1">
        <f>+'Logistic curve'!C47</f>
        <v>0</v>
      </c>
      <c r="D47" s="1">
        <f t="shared" si="0"/>
        <v>4</v>
      </c>
      <c r="E47" s="4">
        <f t="shared" si="1"/>
        <v>1</v>
      </c>
      <c r="F47" s="4">
        <f t="shared" si="4"/>
        <v>0.996372232492435</v>
      </c>
      <c r="G47" s="1"/>
      <c r="H47" s="4">
        <f t="shared" si="2"/>
        <v>0.9855677033496805</v>
      </c>
      <c r="I47" s="4">
        <f t="shared" si="3"/>
        <v>-0.014537455256745112</v>
      </c>
      <c r="J47" s="1"/>
    </row>
    <row r="48" spans="1:10" ht="15.75">
      <c r="A48" s="1">
        <f>+'Logistic curve'!A48</f>
        <v>52.5</v>
      </c>
      <c r="B48" s="1">
        <f>+'Logistic curve'!B48</f>
        <v>3</v>
      </c>
      <c r="C48" s="1">
        <f>+'Logistic curve'!C48</f>
        <v>0</v>
      </c>
      <c r="D48" s="1">
        <f t="shared" si="0"/>
        <v>3</v>
      </c>
      <c r="E48" s="4">
        <f t="shared" si="1"/>
        <v>1</v>
      </c>
      <c r="F48" s="4">
        <f t="shared" si="4"/>
        <v>0.9975615345919292</v>
      </c>
      <c r="G48" s="1"/>
      <c r="H48" s="4">
        <f t="shared" si="2"/>
        <v>0.9927024276170344</v>
      </c>
      <c r="I48" s="4">
        <f t="shared" si="3"/>
        <v>-0.007324329920493223</v>
      </c>
      <c r="J48" s="1"/>
    </row>
    <row r="49" spans="1:10" ht="15.75">
      <c r="A49" s="1">
        <f>+'Logistic curve'!A49</f>
        <v>53.5</v>
      </c>
      <c r="B49" s="1">
        <f>+'Logistic curve'!B49</f>
        <v>0</v>
      </c>
      <c r="C49" s="1">
        <f>+'Logistic curve'!C49</f>
        <v>0</v>
      </c>
      <c r="D49" s="1">
        <f t="shared" si="0"/>
        <v>0</v>
      </c>
      <c r="E49" s="4" t="e">
        <f t="shared" si="1"/>
        <v>#DIV/0!</v>
      </c>
      <c r="F49" s="4">
        <f t="shared" si="4"/>
        <v>0.9983616214989454</v>
      </c>
      <c r="G49" s="1"/>
      <c r="H49" s="4">
        <f t="shared" si="2"/>
        <v>1</v>
      </c>
      <c r="I49" s="4">
        <f t="shared" si="3"/>
        <v>0</v>
      </c>
      <c r="J49" s="1"/>
    </row>
    <row r="50" spans="1:10" ht="15.75">
      <c r="A50" s="1">
        <f>+'Logistic curve'!A50</f>
        <v>54.5</v>
      </c>
      <c r="B50" s="1">
        <f>+'Logistic curve'!B50</f>
        <v>2</v>
      </c>
      <c r="C50" s="1">
        <f>+'Logistic curve'!C50</f>
        <v>0</v>
      </c>
      <c r="D50" s="1">
        <f t="shared" si="0"/>
        <v>2</v>
      </c>
      <c r="E50" s="4">
        <f t="shared" si="1"/>
        <v>1</v>
      </c>
      <c r="F50" s="4">
        <f t="shared" si="4"/>
        <v>0.9988994971793951</v>
      </c>
      <c r="G50" s="1"/>
      <c r="H50" s="4">
        <f t="shared" si="2"/>
        <v>0.9978002054652483</v>
      </c>
      <c r="I50" s="4">
        <f t="shared" si="3"/>
        <v>-0.0022022176369527902</v>
      </c>
      <c r="J50" s="1"/>
    </row>
    <row r="51" spans="1:10" ht="15.75">
      <c r="A51" s="1">
        <f>+'Logistic curve'!A51</f>
        <v>55.5</v>
      </c>
      <c r="B51" s="1">
        <f>+'Logistic curve'!B51</f>
        <v>13</v>
      </c>
      <c r="C51" s="1">
        <f>+'Logistic curve'!C51</f>
        <v>0</v>
      </c>
      <c r="D51" s="1">
        <f t="shared" si="0"/>
        <v>13</v>
      </c>
      <c r="E51" s="4">
        <f t="shared" si="1"/>
        <v>1</v>
      </c>
      <c r="F51" s="4">
        <f t="shared" si="4"/>
        <v>0.9992609276744756</v>
      </c>
      <c r="G51" s="1"/>
      <c r="H51" s="4">
        <f t="shared" si="2"/>
        <v>0.9904345502988634</v>
      </c>
      <c r="I51" s="4">
        <f t="shared" si="3"/>
        <v>-0.009611492463527497</v>
      </c>
      <c r="J51" s="1"/>
    </row>
    <row r="52" spans="1:10" ht="15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2:10" ht="15.75">
      <c r="B53" s="16"/>
      <c r="C53" s="16"/>
      <c r="D53" s="16"/>
      <c r="E53" s="16"/>
      <c r="F53" s="16"/>
      <c r="G53" s="1"/>
      <c r="H53" s="1"/>
      <c r="I53" s="1"/>
      <c r="J53" s="1"/>
    </row>
    <row r="54" spans="1:10" ht="15.75">
      <c r="A54" s="22" t="s">
        <v>25</v>
      </c>
      <c r="B54" s="16"/>
      <c r="C54" s="16"/>
      <c r="D54" s="16"/>
      <c r="E54" s="16"/>
      <c r="F54" s="16"/>
      <c r="G54" s="1"/>
      <c r="H54" s="1"/>
      <c r="I54" s="1"/>
      <c r="J54" s="1"/>
    </row>
    <row r="55" spans="1:10" ht="15.75">
      <c r="A55" s="23" t="s">
        <v>26</v>
      </c>
      <c r="B55" s="1"/>
      <c r="C55" s="1"/>
      <c r="D55" s="1"/>
      <c r="E55" s="1"/>
      <c r="F55" s="1"/>
      <c r="G55" s="1"/>
      <c r="H55" s="1"/>
      <c r="I55" s="1"/>
      <c r="J55" s="1"/>
    </row>
    <row r="56" spans="1:10" ht="15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.7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5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5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5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5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5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5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.7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.7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.7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5.7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.7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5.7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5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5.7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5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5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5.7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5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5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5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5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5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5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5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5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5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5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5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5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5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5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5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5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5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5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5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5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5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5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5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5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5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5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5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</sheetData>
  <printOptions gridLines="1" headings="1"/>
  <pageMargins left="0.5118110236220472" right="0.5118110236220472" top="0.5118110236220472" bottom="0.5118110236220472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東京水産大学海洋生産学科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東海  正</dc:creator>
  <cp:keywords/>
  <dc:description/>
  <cp:lastModifiedBy>東海  正</cp:lastModifiedBy>
  <cp:lastPrinted>1999-02-18T23:24:25Z</cp:lastPrinted>
  <dcterms:created xsi:type="dcterms:W3CDTF">1996-10-21T23:42:20Z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